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525" windowWidth="15480" windowHeight="7770" tabRatio="599" activeTab="0"/>
  </bookViews>
  <sheets>
    <sheet name="pl 01" sheetId="1" r:id="rId1"/>
    <sheet name="pl 02" sheetId="2" r:id="rId2"/>
    <sheet name="PL 03" sheetId="3" r:id="rId3"/>
    <sheet name="pl 04" sheetId="4" r:id="rId4"/>
    <sheet name="PL 05" sheetId="5" r:id="rId5"/>
    <sheet name="Pl 06" sheetId="6" r:id="rId6"/>
    <sheet name="Pl 07" sheetId="7" r:id="rId7"/>
    <sheet name="pl 08" sheetId="8" r:id="rId8"/>
    <sheet name="Sheet4" sheetId="9" r:id="rId9"/>
  </sheets>
  <externalReferences>
    <externalReference r:id="rId12"/>
  </externalReferences>
  <definedNames>
    <definedName name="_xlnm.Print_Area" localSheetId="3">'pl 04'!$A$1:$D$318</definedName>
    <definedName name="_xlnm.Print_Titles" localSheetId="3">'pl 04'!$7:$9</definedName>
    <definedName name="_xlnm.Print_Titles" localSheetId="4">'PL 05'!$7:$11</definedName>
    <definedName name="_xlnm.Print_Titles" localSheetId="6">'Pl 07'!$6:$6</definedName>
    <definedName name="_xlnm.Print_Titles" localSheetId="7">'pl 08'!$7:$8</definedName>
  </definedNames>
  <calcPr fullCalcOnLoad="1"/>
</workbook>
</file>

<file path=xl/comments4.xml><?xml version="1.0" encoding="utf-8"?>
<comments xmlns="http://schemas.openxmlformats.org/spreadsheetml/2006/main">
  <authors>
    <author>Windows User</author>
    <author>User</author>
  </authors>
  <commentList>
    <comment ref="B47" authorId="0">
      <text>
        <r>
          <rPr>
            <b/>
            <sz val="9"/>
            <rFont val="Tahoma"/>
            <family val="2"/>
          </rPr>
          <t>Windows User:</t>
        </r>
        <r>
          <rPr>
            <sz val="9"/>
            <rFont val="Tahoma"/>
            <family val="2"/>
          </rPr>
          <t xml:space="preserve">
KP sửa chữa thùng rác, chôn rác, tổng vệ sinh các ngày lễ lớn</t>
        </r>
      </text>
    </comment>
    <comment ref="B52" authorId="0">
      <text>
        <r>
          <rPr>
            <b/>
            <sz val="9"/>
            <rFont val="Tahoma"/>
            <family val="2"/>
          </rPr>
          <t>Windows User:</t>
        </r>
        <r>
          <rPr>
            <sz val="9"/>
            <rFont val="Tahoma"/>
            <family val="2"/>
          </rPr>
          <t xml:space="preserve">
Hệ thống điện lô 57: 184 triệu, lắp đặt nước lô 57: 114 triệu</t>
        </r>
      </text>
    </comment>
    <comment ref="B53" authorId="0">
      <text>
        <r>
          <rPr>
            <b/>
            <sz val="9"/>
            <rFont val="Tahoma"/>
            <family val="2"/>
          </rPr>
          <t>Windows User:</t>
        </r>
        <r>
          <rPr>
            <sz val="9"/>
            <rFont val="Tahoma"/>
            <family val="2"/>
          </rPr>
          <t xml:space="preserve">
sửa chữa đường TTHC: 325 triệu; di chuyển nhà công vụ: 515 triệu đ, thiếu 88tr câp từ QLNN</t>
        </r>
      </text>
    </comment>
    <comment ref="B223" authorId="0">
      <text>
        <r>
          <rPr>
            <b/>
            <sz val="9"/>
            <rFont val="Tahoma"/>
            <family val="2"/>
          </rPr>
          <t>Windows User:</t>
        </r>
        <r>
          <rPr>
            <sz val="9"/>
            <rFont val="Tahoma"/>
            <family val="2"/>
          </rPr>
          <t xml:space="preserve">
triển khai PM quản lý hộ tịch: 105 triệu</t>
        </r>
      </text>
    </comment>
    <comment ref="B247" authorId="1">
      <text>
        <r>
          <rPr>
            <b/>
            <sz val="9"/>
            <rFont val="Tahoma"/>
            <family val="2"/>
          </rPr>
          <t>User:</t>
        </r>
        <r>
          <rPr>
            <sz val="9"/>
            <rFont val="Tahoma"/>
            <family val="2"/>
          </rPr>
          <t xml:space="preserve">
xEM LẠI TÒNG CƯỜNG HẾT THU HÚT CHƯA</t>
        </r>
      </text>
    </comment>
    <comment ref="B180" authorId="0">
      <text>
        <r>
          <rPr>
            <b/>
            <sz val="9"/>
            <rFont val="Tahoma"/>
            <family val="2"/>
          </rPr>
          <t>Windows User:</t>
        </r>
        <r>
          <rPr>
            <sz val="9"/>
            <rFont val="Tahoma"/>
            <family val="2"/>
          </rPr>
          <t xml:space="preserve">
sửa nhà khách UB 181,7 triệu, sửa nhà công vụ TTUB: 388 triệu, di chuyển nhà công vụ: 88tr</t>
        </r>
      </text>
    </comment>
  </commentList>
</comments>
</file>

<file path=xl/comments5.xml><?xml version="1.0" encoding="utf-8"?>
<comments xmlns="http://schemas.openxmlformats.org/spreadsheetml/2006/main">
  <authors>
    <author>User</author>
    <author> a</author>
    <author>Windows User</author>
  </authors>
  <commentList>
    <comment ref="F188" authorId="0">
      <text>
        <r>
          <rPr>
            <b/>
            <sz val="9"/>
            <rFont val="Tahoma"/>
            <family val="2"/>
          </rPr>
          <t>User:</t>
        </r>
        <r>
          <rPr>
            <sz val="9"/>
            <rFont val="Tahoma"/>
            <family val="2"/>
          </rPr>
          <t xml:space="preserve">
1hop dong 750</t>
        </r>
      </text>
    </comment>
    <comment ref="C109" authorId="0">
      <text>
        <r>
          <rPr>
            <b/>
            <sz val="9"/>
            <rFont val="Tahoma"/>
            <family val="2"/>
          </rPr>
          <t>User:</t>
        </r>
        <r>
          <rPr>
            <sz val="9"/>
            <rFont val="Tahoma"/>
            <family val="2"/>
          </rPr>
          <t xml:space="preserve">
Thêm 1 bc hợp đồng (Giao lương 12 người)</t>
        </r>
      </text>
    </comment>
    <comment ref="B240" authorId="0">
      <text>
        <r>
          <rPr>
            <b/>
            <sz val="9"/>
            <rFont val="Tahoma"/>
            <family val="2"/>
          </rPr>
          <t>User:</t>
        </r>
        <r>
          <rPr>
            <sz val="9"/>
            <rFont val="Tahoma"/>
            <family val="2"/>
          </rPr>
          <t xml:space="preserve">
xEM LẠI TÒNG CƯỜNG HẾT THU HÚT CHƯA</t>
        </r>
      </text>
    </comment>
    <comment ref="F242" authorId="0">
      <text>
        <r>
          <rPr>
            <b/>
            <sz val="9"/>
            <rFont val="Tahoma"/>
            <family val="2"/>
          </rPr>
          <t>User:</t>
        </r>
        <r>
          <rPr>
            <sz val="9"/>
            <rFont val="Tahoma"/>
            <family val="2"/>
          </rPr>
          <t xml:space="preserve">
1 bc theo NQ 65, va hop dong 750</t>
        </r>
      </text>
    </comment>
    <comment ref="O69" authorId="0">
      <text>
        <r>
          <rPr>
            <b/>
            <sz val="9"/>
            <rFont val="Tahoma"/>
            <family val="2"/>
          </rPr>
          <t>User:</t>
        </r>
        <r>
          <rPr>
            <sz val="9"/>
            <rFont val="Tahoma"/>
            <family val="2"/>
          </rPr>
          <t xml:space="preserve">
Hỗ trợ tấm lợp làm nhà bán trú 140.000, sửa xe ô tô 80.000</t>
        </r>
      </text>
    </comment>
    <comment ref="B196" authorId="1">
      <text>
        <r>
          <rPr>
            <b/>
            <sz val="8"/>
            <rFont val="Tahoma"/>
            <family val="2"/>
          </rPr>
          <t xml:space="preserve"> a:</t>
        </r>
        <r>
          <rPr>
            <sz val="8"/>
            <rFont val="Tahoma"/>
            <family val="2"/>
          </rPr>
          <t xml:space="preserve">
KP thực hiện NQ 65 1,566</t>
        </r>
      </text>
    </comment>
    <comment ref="B54" authorId="2">
      <text>
        <r>
          <rPr>
            <b/>
            <sz val="9"/>
            <rFont val="Tahoma"/>
            <family val="2"/>
          </rPr>
          <t>Windows User:</t>
        </r>
        <r>
          <rPr>
            <sz val="9"/>
            <rFont val="Tahoma"/>
            <family val="2"/>
          </rPr>
          <t xml:space="preserve">
Hệ thống điện lô 57: 184 triệu, lắp đặt nước lô 57: 114 triệu</t>
        </r>
      </text>
    </comment>
    <comment ref="N117" authorId="2">
      <text>
        <r>
          <rPr>
            <b/>
            <sz val="9"/>
            <rFont val="Tahoma"/>
            <family val="2"/>
          </rPr>
          <t>Windows User:</t>
        </r>
        <r>
          <rPr>
            <sz val="9"/>
            <rFont val="Tahoma"/>
            <family val="2"/>
          </rPr>
          <t xml:space="preserve">
tăng thời lượng phát sóng 62tr + nhuận bút tin bài 168 tr, dịch vụ công cộng:100tr, thuê cáp quang:55tr</t>
        </r>
      </text>
    </comment>
    <comment ref="B173" authorId="2">
      <text>
        <r>
          <rPr>
            <b/>
            <sz val="9"/>
            <rFont val="Tahoma"/>
            <family val="2"/>
          </rPr>
          <t>Windows User:</t>
        </r>
        <r>
          <rPr>
            <sz val="9"/>
            <rFont val="Tahoma"/>
            <family val="2"/>
          </rPr>
          <t xml:space="preserve">
sửa nhà khách UB 181,7 triệu, sửa nhà công vụ TTUB: 388 triệu, di chuyển nhà công vụ: 88tr</t>
        </r>
      </text>
    </comment>
    <comment ref="P148" authorId="2">
      <text>
        <r>
          <rPr>
            <b/>
            <sz val="9"/>
            <rFont val="Tahoma"/>
            <family val="2"/>
          </rPr>
          <t>Windows User:</t>
        </r>
        <r>
          <rPr>
            <sz val="9"/>
            <rFont val="Tahoma"/>
            <family val="2"/>
          </rPr>
          <t xml:space="preserve">
KP hoạt động các chi bộ</t>
        </r>
      </text>
    </comment>
    <comment ref="N51" authorId="2">
      <text>
        <r>
          <rPr>
            <b/>
            <sz val="9"/>
            <rFont val="Tahoma"/>
            <family val="2"/>
          </rPr>
          <t>Windows User:</t>
        </r>
        <r>
          <rPr>
            <sz val="9"/>
            <rFont val="Tahoma"/>
            <family val="2"/>
          </rPr>
          <t xml:space="preserve">
KP dầu lò đốt rác</t>
        </r>
      </text>
    </comment>
    <comment ref="N148" authorId="2">
      <text>
        <r>
          <rPr>
            <b/>
            <sz val="9"/>
            <rFont val="Tahoma"/>
            <family val="2"/>
          </rPr>
          <t>Windows User:</t>
        </r>
        <r>
          <rPr>
            <sz val="9"/>
            <rFont val="Tahoma"/>
            <family val="2"/>
          </rPr>
          <t xml:space="preserve">
KP tiếp khách</t>
        </r>
      </text>
    </comment>
    <comment ref="B49" authorId="2">
      <text>
        <r>
          <rPr>
            <b/>
            <sz val="9"/>
            <rFont val="Tahoma"/>
            <family val="2"/>
          </rPr>
          <t>Windows User:</t>
        </r>
        <r>
          <rPr>
            <sz val="9"/>
            <rFont val="Tahoma"/>
            <family val="2"/>
          </rPr>
          <t xml:space="preserve">
KP sửa chữa thùng rác, chôn rác, tổng vệ sinh các ngày lễ lớn</t>
        </r>
      </text>
    </comment>
    <comment ref="B216" authorId="2">
      <text>
        <r>
          <rPr>
            <b/>
            <sz val="9"/>
            <rFont val="Tahoma"/>
            <family val="2"/>
          </rPr>
          <t>Windows User:</t>
        </r>
        <r>
          <rPr>
            <sz val="9"/>
            <rFont val="Tahoma"/>
            <family val="2"/>
          </rPr>
          <t xml:space="preserve">
triển khai PM quản lý hộ tịch: 105 triệu</t>
        </r>
      </text>
    </comment>
    <comment ref="O105" authorId="2">
      <text>
        <r>
          <rPr>
            <b/>
            <sz val="9"/>
            <rFont val="Tahoma"/>
            <family val="2"/>
          </rPr>
          <t>Windows User:</t>
        </r>
        <r>
          <rPr>
            <sz val="9"/>
            <rFont val="Tahoma"/>
            <family val="2"/>
          </rPr>
          <t xml:space="preserve">
Sửa trạm y tế m.lèo cho xã sử dụng</t>
        </r>
      </text>
    </comment>
    <comment ref="N100" authorId="2">
      <text>
        <r>
          <rPr>
            <b/>
            <sz val="9"/>
            <rFont val="Tahoma"/>
            <family val="2"/>
          </rPr>
          <t>Windows User:</t>
        </r>
        <r>
          <rPr>
            <sz val="9"/>
            <rFont val="Tahoma"/>
            <family val="2"/>
          </rPr>
          <t xml:space="preserve">
KP trực, Kp chứng chỉ hành nghề </t>
        </r>
      </text>
    </comment>
    <comment ref="B55" authorId="2">
      <text>
        <r>
          <rPr>
            <b/>
            <sz val="9"/>
            <rFont val="Tahoma"/>
            <family val="2"/>
          </rPr>
          <t>Windows User:</t>
        </r>
        <r>
          <rPr>
            <sz val="9"/>
            <rFont val="Tahoma"/>
            <family val="2"/>
          </rPr>
          <t xml:space="preserve">
sửa chữa đường TTHC: 325 triệu; di chuyển nhà công vụ: 515 triệu đ, thiếu 88tr câp từ QLNN</t>
        </r>
      </text>
    </comment>
    <comment ref="O100" authorId="2">
      <text>
        <r>
          <rPr>
            <b/>
            <sz val="9"/>
            <rFont val="Tahoma"/>
            <family val="2"/>
          </rPr>
          <t>Windows User:</t>
        </r>
        <r>
          <rPr>
            <sz val="9"/>
            <rFont val="Tahoma"/>
            <family val="2"/>
          </rPr>
          <t xml:space="preserve">
KP lắp đặt điện trạm y tế dồm cang &amp; sửa chữa tài sản khác</t>
        </r>
      </text>
    </comment>
  </commentList>
</comments>
</file>

<file path=xl/comments8.xml><?xml version="1.0" encoding="utf-8"?>
<comments xmlns="http://schemas.openxmlformats.org/spreadsheetml/2006/main">
  <authors>
    <author> </author>
  </authors>
  <commentList>
    <comment ref="AA92" authorId="0">
      <text>
        <r>
          <rPr>
            <b/>
            <sz val="8"/>
            <rFont val="Tahoma"/>
            <family val="2"/>
          </rPr>
          <t xml:space="preserve"> :</t>
        </r>
        <r>
          <rPr>
            <sz val="8"/>
            <rFont val="Tahoma"/>
            <family val="2"/>
          </rPr>
          <t xml:space="preserve">
1
</t>
        </r>
      </text>
    </comment>
  </commentList>
</comments>
</file>

<file path=xl/sharedStrings.xml><?xml version="1.0" encoding="utf-8"?>
<sst xmlns="http://schemas.openxmlformats.org/spreadsheetml/2006/main" count="1670" uniqueCount="674">
  <si>
    <t>STT</t>
  </si>
  <si>
    <t>Trong đó</t>
  </si>
  <si>
    <t>a</t>
  </si>
  <si>
    <t>Mầm non</t>
  </si>
  <si>
    <t>-</t>
  </si>
  <si>
    <t>b</t>
  </si>
  <si>
    <t>Cấp I</t>
  </si>
  <si>
    <t xml:space="preserve">Khối THCS </t>
  </si>
  <si>
    <t>Phòng Tư pháp</t>
  </si>
  <si>
    <t>Phòng Nội vụ</t>
  </si>
  <si>
    <t>Huyện đoàn</t>
  </si>
  <si>
    <t>+</t>
  </si>
  <si>
    <t>Cán bộ không chuyên trách cấp xã</t>
  </si>
  <si>
    <t>Phụ cấp dân quân tự vệ</t>
  </si>
  <si>
    <t>(Kèm theo Quyết định số: 2555/QĐ-UBND ngày 20/12/2013 của UBND huyện Sốp Cộp)</t>
  </si>
  <si>
    <t>Đơn vị</t>
  </si>
  <si>
    <t>Biên chế</t>
  </si>
  <si>
    <t>Kinh phí quản hành chính</t>
  </si>
  <si>
    <t>Chi tiết</t>
  </si>
  <si>
    <t>Dự phòng</t>
  </si>
  <si>
    <t>BC QLNN</t>
  </si>
  <si>
    <t>Lương và phụ cấp lương</t>
  </si>
  <si>
    <t>Chi thường xuyên</t>
  </si>
  <si>
    <t>Tiết kiệm để CCTL</t>
  </si>
  <si>
    <t>Chi thanh toán cá nhân 
(Nhóm I)</t>
  </si>
  <si>
    <t>Chuyên môn nghiệp vụ 
(Nhóm II)</t>
  </si>
  <si>
    <t>A</t>
  </si>
  <si>
    <t>I</t>
  </si>
  <si>
    <t xml:space="preserve"> Từ nguồn thu cấp quyền SD đất</t>
  </si>
  <si>
    <t>Trong đó: + Lập quỹ phát triển đất (20%)</t>
  </si>
  <si>
    <t xml:space="preserve">               + KP quy hoạch, giao đất, kiểm kê đất đai</t>
  </si>
  <si>
    <t>II</t>
  </si>
  <si>
    <t>Chi xây dựng cơ bản tập trung</t>
  </si>
  <si>
    <t>B</t>
  </si>
  <si>
    <t>Kinh phí bảo vệ rừng mùa hanh khô</t>
  </si>
  <si>
    <t>Phòng Nông nghiệp và PTNT</t>
  </si>
  <si>
    <t>Chi hỗ trợ đô thị, đầu tư các dự án trọng điểm</t>
  </si>
  <si>
    <t>Chi SN môi trường</t>
  </si>
  <si>
    <t>SN kiến thiết thị chính</t>
  </si>
  <si>
    <t>Phòng giáo dục (QLNN)</t>
  </si>
  <si>
    <t xml:space="preserve">Khối Mầm non </t>
  </si>
  <si>
    <t>Khối Tiểu học</t>
  </si>
  <si>
    <t>Cấp II</t>
  </si>
  <si>
    <t>KP thực hiện trung tâm giáo dục cộng đồng</t>
  </si>
  <si>
    <t>III</t>
  </si>
  <si>
    <t>Bệnh viện</t>
  </si>
  <si>
    <t>IV</t>
  </si>
  <si>
    <t xml:space="preserve"> Sự nghiệp Văn hoá </t>
  </si>
  <si>
    <t>Kinh phí hoạt động Trung tâm</t>
  </si>
  <si>
    <t>Kinh phí hoạt động thường xuyên và tuyên truyền kỷ niệm các ngày lễ lớn …</t>
  </si>
  <si>
    <t>Phòng Văn hoá (QLNN)</t>
  </si>
  <si>
    <t xml:space="preserve">KP cuộc VDTDĐKXD ĐS dân cư </t>
  </si>
  <si>
    <t>KP hỗ trợ xây dựng thiết chế văn hoá cơ sở (Bản ĐBKK)</t>
  </si>
  <si>
    <t>V</t>
  </si>
  <si>
    <t xml:space="preserve"> Sự nghiệp truyền thanh truyền hình</t>
  </si>
  <si>
    <t>VI</t>
  </si>
  <si>
    <t>Chi đảm bảo xã hội</t>
  </si>
  <si>
    <t>Kinh phí phòng chống ma tuý</t>
  </si>
  <si>
    <t>KP thăm hỏi, tặng quà cao tuổi TT21/TT-BTC</t>
  </si>
  <si>
    <t>Quà ngày 27/7</t>
  </si>
  <si>
    <t>Kinh phí sửa chữa nhà điều hành, để xe (Trung tâm GDLD huyện)</t>
  </si>
  <si>
    <t>Chi đảm bảo xã hội khác</t>
  </si>
  <si>
    <t>Kinh phí thực hiện trợ cấp hưu xã</t>
  </si>
  <si>
    <t>VII</t>
  </si>
  <si>
    <t>Chi quản lý hành chính</t>
  </si>
  <si>
    <t>Huyện Uỷ</t>
  </si>
  <si>
    <t>Văn phòng Huyện uỷ</t>
  </si>
  <si>
    <t>0</t>
  </si>
  <si>
    <t>Kinh phí hoạt động Văn phòng</t>
  </si>
  <si>
    <t>Kinh phí chi cấp uỷ</t>
  </si>
  <si>
    <t>Kinh phí chi đặc thù</t>
  </si>
  <si>
    <t>Kinh phí xăng xe</t>
  </si>
  <si>
    <t>Kinh phí khám chữa bệnh</t>
  </si>
  <si>
    <t>Kinh phí khen thưởng cấp uỷ</t>
  </si>
  <si>
    <t>Kinh phí ban chỉ đạo cuộc vận động "Học tập và làm theo tấm gương đạo đức HCM"</t>
  </si>
  <si>
    <t>2.1</t>
  </si>
  <si>
    <t>Văn phòng HĐND - UBND</t>
  </si>
  <si>
    <t>KP Văn phòng HĐND - UBND</t>
  </si>
  <si>
    <t>Kinh phí hoạt động của HĐND</t>
  </si>
  <si>
    <t>Sinh hoạt phí đại biểu HĐND huyện</t>
  </si>
  <si>
    <t>2.2</t>
  </si>
  <si>
    <t xml:space="preserve">Phòng Tài chính - Kế hoạch </t>
  </si>
  <si>
    <t>2.3</t>
  </si>
  <si>
    <t>2.4</t>
  </si>
  <si>
    <t>KP phổ biến pháp luật</t>
  </si>
  <si>
    <t>Phòng Kinh tế và Hạ tầng</t>
  </si>
  <si>
    <t>Trong đó: Kinh phí hoạt động ban vì sự tiến bộ phụ nữ</t>
  </si>
  <si>
    <t>Phòng Tài nguyên - Môi trường</t>
  </si>
  <si>
    <t>Phòng Dân Tộc</t>
  </si>
  <si>
    <t>Kinh phí BCĐ XD nông thôn mới</t>
  </si>
  <si>
    <t>Khối đoàn thể</t>
  </si>
  <si>
    <t>3.1</t>
  </si>
  <si>
    <t>Kinh phí hoạt động của MTTQ</t>
  </si>
  <si>
    <t xml:space="preserve">KP cuộc VĐTDĐKXD ĐS khu dân cư </t>
  </si>
  <si>
    <t>3.2</t>
  </si>
  <si>
    <t>3.3</t>
  </si>
  <si>
    <t>Hội Nông dân</t>
  </si>
  <si>
    <t>3.4</t>
  </si>
  <si>
    <t>Hội Cựu chiến binh</t>
  </si>
  <si>
    <t>3.5</t>
  </si>
  <si>
    <t>Trong đó: Kinh phí hoạt động Hội cựu thanh niên xung phong</t>
  </si>
  <si>
    <t>3.6</t>
  </si>
  <si>
    <t>3.7</t>
  </si>
  <si>
    <t>Kinh phí mua sắm TSCĐ của các đoàn thể, hội</t>
  </si>
  <si>
    <t>3.8</t>
  </si>
  <si>
    <t>3.9</t>
  </si>
  <si>
    <t>Các khoản chi thường xuyên cấp xã</t>
  </si>
  <si>
    <t>VIII</t>
  </si>
  <si>
    <t xml:space="preserve">Trung tâm bồi dưỡng Chính trị </t>
  </si>
  <si>
    <t>Kinh phí mua sắm thiết bị dạy học theo Thông báo số 19-TB/TU</t>
  </si>
  <si>
    <t>KP sửa chữa trụ sở làm việc</t>
  </si>
  <si>
    <t>Kinh phí đào tạo (Lớp sơ cấp)</t>
  </si>
  <si>
    <t>Kinh phí bồi dưỡng các lớp lý luận chính trị</t>
  </si>
  <si>
    <t>IX</t>
  </si>
  <si>
    <t>Chi an ninh - Quốc phòng</t>
  </si>
  <si>
    <t>KP giao ban, bảo vệ đường biên mốc giới</t>
  </si>
  <si>
    <t xml:space="preserve">Cấp huyện </t>
  </si>
  <si>
    <t>Kinh phí đối ngoại</t>
  </si>
  <si>
    <t>KP thực hiện PL DQTV</t>
  </si>
  <si>
    <t>Cấp huyện (Huyện uỷ)</t>
  </si>
  <si>
    <t>Cấp huyện (Bệnh viện đa khoa)</t>
  </si>
  <si>
    <t>KP thực hiện luật DQTV</t>
  </si>
  <si>
    <t>Kinh phí bồi dưỡng lớp đối tượng 5</t>
  </si>
  <si>
    <t>X</t>
  </si>
  <si>
    <t>Chi khác ngân sách</t>
  </si>
  <si>
    <t xml:space="preserve"> Trong đó: - Nguồn CCTL</t>
  </si>
  <si>
    <t xml:space="preserve"> </t>
  </si>
  <si>
    <t>XI</t>
  </si>
  <si>
    <t xml:space="preserve">Dự phòng ngân sách </t>
  </si>
  <si>
    <t>Dự phòng NS huyện</t>
  </si>
  <si>
    <t>Dự phòng NS xã</t>
  </si>
  <si>
    <t>XII</t>
  </si>
  <si>
    <t>XIII</t>
  </si>
  <si>
    <t>C</t>
  </si>
  <si>
    <t>Trung tâm văn hoá (chi thường xuyên)</t>
  </si>
  <si>
    <t>Nộp NSNN (VAT, thu nhập doanh nghiệp 10%)</t>
  </si>
  <si>
    <t>Chi phí phối hợp xử lý thông tin, bảo vệ và vận hành máy nổ, hỗ trợ quảng cáo... (20%)</t>
  </si>
  <si>
    <t xml:space="preserve">70% còn lại </t>
  </si>
  <si>
    <t>40% chi lương</t>
  </si>
  <si>
    <t>60% chi mua sắm, sửa chữa tài sản</t>
  </si>
  <si>
    <t>Trạm khai thác và bảo vệ CCTL</t>
  </si>
  <si>
    <t>D</t>
  </si>
  <si>
    <t>Cuộc vận động TDĐKXD ĐS khu DC</t>
  </si>
  <si>
    <t>Hỗ trợ đội văn nghệ hoạt động thường xuyên</t>
  </si>
  <si>
    <t>(Kèm theo Quyết định số:  2555/QĐ-UBND ngày  20/12/2013 của UBND huyện Sốp Cộp)</t>
  </si>
  <si>
    <t>TT</t>
  </si>
  <si>
    <t>Chỉ tiêu thu</t>
  </si>
  <si>
    <t>Tổng số</t>
  </si>
  <si>
    <t>Thu khác ngân sách</t>
  </si>
  <si>
    <t>Chi cục</t>
  </si>
  <si>
    <t>Thu DN vãng lai</t>
  </si>
  <si>
    <t>Thu XDQD địa phương</t>
  </si>
  <si>
    <t>Thuế môn bài</t>
  </si>
  <si>
    <t>Thuế GTGT (XDCB)</t>
  </si>
  <si>
    <t>Thuế GTGT</t>
  </si>
  <si>
    <t>Thuế tài nguyên</t>
  </si>
  <si>
    <t>Thu khác</t>
  </si>
  <si>
    <t>Thuế thu nhập cá nhân</t>
  </si>
  <si>
    <t>Thu cấp quyền SDĐ</t>
  </si>
  <si>
    <t>Thu tiền thuê đất</t>
  </si>
  <si>
    <t>Phí - Lệ phí</t>
  </si>
  <si>
    <t>Thu lệ phí trước bạ</t>
  </si>
  <si>
    <t>Thu cố định tại xã</t>
  </si>
  <si>
    <t>Thu tiền thuê nhà SHNN</t>
  </si>
  <si>
    <t>(Kèm theo Báo cáo số:           /BC-UBND ngày       /12/2013 của UBND huyện Sốp Cộp)</t>
  </si>
  <si>
    <t>Nội dung thu</t>
  </si>
  <si>
    <t>Ngân sách tỉnh</t>
  </si>
  <si>
    <t>Ngân sách huyện</t>
  </si>
  <si>
    <t>Ngân sách xã</t>
  </si>
  <si>
    <t>Tổng thu ngân sách</t>
  </si>
  <si>
    <t>Thu ngân sách trên địa bàn</t>
  </si>
  <si>
    <t>Thu DNQD địa phương</t>
  </si>
  <si>
    <t>Thuế công thương nghiệp ngoài QD</t>
  </si>
  <si>
    <t>Thuế giá trị gia tăng</t>
  </si>
  <si>
    <t>Thu tiền cấp quyền SD đất</t>
  </si>
  <si>
    <t>Thu phí, lệ phí</t>
  </si>
  <si>
    <t xml:space="preserve">Ghi thu qua ngân sách nhà nước </t>
  </si>
  <si>
    <t>Bổ sung từ ngân sách tỉnh</t>
  </si>
  <si>
    <t>Bổ sung cân đối</t>
  </si>
  <si>
    <t>Bổ sung có mục tiêu chi theo CTMT của tỉnh</t>
  </si>
  <si>
    <t>Bổ sung có mục tiêu thực hiện CTMT NSTW</t>
  </si>
  <si>
    <t xml:space="preserve">Chênh lệch (+ -) </t>
  </si>
  <si>
    <t>Tỷ lệ %</t>
  </si>
  <si>
    <t>Thuế nhà đất</t>
  </si>
  <si>
    <t>Trong đó thu phạt an toàn giao thông</t>
  </si>
  <si>
    <t>Hỗ trợ thực hiện nhiệm vụ khác NS tỉnh</t>
  </si>
  <si>
    <t>Đơn vị tính: Nghìn đồng</t>
  </si>
  <si>
    <t>Trong đó: Nguồn CCTL</t>
  </si>
  <si>
    <t>Đơn vị: Nghìn đồng</t>
  </si>
  <si>
    <t>Tổng chi ngân sách</t>
  </si>
  <si>
    <t>Số bổ sung cân đối từ ngân sách huyện cho ngân sách xã</t>
  </si>
  <si>
    <t>Ghi chú</t>
  </si>
  <si>
    <t>Thu bổ sung từ ngân sách</t>
  </si>
  <si>
    <t>Chi theo mục tiêu</t>
  </si>
  <si>
    <t>Bổ sung CĐNS</t>
  </si>
  <si>
    <t>Bổ sung có mục tiêu</t>
  </si>
  <si>
    <t>Trong tổng chi ngân sách xã đã bao gồm cả nguồn dự phòng</t>
  </si>
  <si>
    <t>Nậm Lạnh</t>
  </si>
  <si>
    <t>Nội dung chi</t>
  </si>
  <si>
    <t xml:space="preserve"> Chi đảm bảo xã hội</t>
  </si>
  <si>
    <t>Chi trợ cấp cán bộ hưu xã</t>
  </si>
  <si>
    <t xml:space="preserve">II </t>
  </si>
  <si>
    <t>Chi an ninh - quốc phòng</t>
  </si>
  <si>
    <t>Chi công an viên bản</t>
  </si>
  <si>
    <t>Hỗ trợ kinh phí giao ban biên giới</t>
  </si>
  <si>
    <t>Kinh phí phụ cấp trách nhiệm dân quân tự vệ</t>
  </si>
  <si>
    <t>Chi sự nghiệp y tế</t>
  </si>
  <si>
    <t>Chi trả chính sách y tế bản</t>
  </si>
  <si>
    <t>Kinh phí thực hiện CCTL</t>
  </si>
  <si>
    <t>Chi sự nghiệp Văn hoá thông tin</t>
  </si>
  <si>
    <t>Cuộc vận động TDĐKXD ĐS khu DC (3 triệu/khu dân cư)</t>
  </si>
  <si>
    <t xml:space="preserve">Hỗ trợ đội văn nghệ bản </t>
  </si>
  <si>
    <t>Các khoản chi thường xuyên</t>
  </si>
  <si>
    <t>Kinh phí cán bộ chuyên trách và công chức xã</t>
  </si>
  <si>
    <t>Kinh phí cán bộ không chuyên trách cấp xã</t>
  </si>
  <si>
    <t>Kinh phí đối với cán bộ bản</t>
  </si>
  <si>
    <t>Sinh hoạt phí HĐND xã</t>
  </si>
  <si>
    <t>Kinh phí sửa chữa tài sản cố định</t>
  </si>
  <si>
    <t>Chi ban thanh tra nhân dân</t>
  </si>
  <si>
    <t>Chi giám sát cộng đồng</t>
  </si>
  <si>
    <t>Kinh phí Ban chỉ đạo xây dựng nông thôn mới</t>
  </si>
  <si>
    <t>Phụ cấp phó bí thư, chi uỷ viên</t>
  </si>
  <si>
    <t>Kinh phí cuộc vận động toàn dân cấp xã</t>
  </si>
  <si>
    <t xml:space="preserve"> Tiết kiệm chi để CCTL</t>
  </si>
  <si>
    <t>Nội dung</t>
  </si>
  <si>
    <t>Số người</t>
  </si>
  <si>
    <t>Hệ số</t>
  </si>
  <si>
    <t>Tổng tiền</t>
  </si>
  <si>
    <t>Sốp Cộp</t>
  </si>
  <si>
    <t>Dồm Cang</t>
  </si>
  <si>
    <t>Sam Kha</t>
  </si>
  <si>
    <t>Mường Lạn</t>
  </si>
  <si>
    <t>Mường Lèo</t>
  </si>
  <si>
    <t>Púng Bánh</t>
  </si>
  <si>
    <t>Mường Và</t>
  </si>
  <si>
    <t>Cán bộ chuyên trách và công chức xã</t>
  </si>
  <si>
    <t>Cán bộ chuyên trách</t>
  </si>
  <si>
    <t xml:space="preserve">             </t>
  </si>
  <si>
    <t>Công chức xã</t>
  </si>
  <si>
    <t>Trưởng CA</t>
  </si>
  <si>
    <t>Kế toán</t>
  </si>
  <si>
    <t>VP UBND</t>
  </si>
  <si>
    <t>VP Đảng Uỷ</t>
  </si>
  <si>
    <t>Địa chính</t>
  </si>
  <si>
    <t>Xây dựng</t>
  </si>
  <si>
    <t>Tư pháp</t>
  </si>
  <si>
    <t>Hộ tịch</t>
  </si>
  <si>
    <t>PCNUBKT</t>
  </si>
  <si>
    <t>VH thể thao</t>
  </si>
  <si>
    <t>VP thống kê</t>
  </si>
  <si>
    <t>Cán bộ không chuyên trách cấp Bản</t>
  </si>
  <si>
    <t>Bí thư chi bộ</t>
  </si>
  <si>
    <t>Trưởng bản</t>
  </si>
  <si>
    <t>Phó Trưởng bản</t>
  </si>
  <si>
    <t>Công an viên</t>
  </si>
  <si>
    <t>Y tế bản</t>
  </si>
  <si>
    <t>Trưởng ban MTTQ</t>
  </si>
  <si>
    <t>Bí thư đoàn thanh niên</t>
  </si>
  <si>
    <t>Bản đội trưởng</t>
  </si>
  <si>
    <t>Xã đôi trưởng, chính trị viên xã đội</t>
  </si>
  <si>
    <t>Xã đội phó, chinh trị viên phó</t>
  </si>
  <si>
    <t>Trung đội trưởng dân quân cơ động xã</t>
  </si>
  <si>
    <t>Trung đội trưởng dân quân cơ động huyện</t>
  </si>
  <si>
    <t>Trung đội trưởng dân quân cơ phòng không 12,7 ly</t>
  </si>
  <si>
    <t>Tiểu đội trưởng dân quân cơ động xã</t>
  </si>
  <si>
    <t>Tiểu đội trưởng dân quân cơ động huyện</t>
  </si>
  <si>
    <t>Khẩu đội trưởng BSMPK 12,7 ly</t>
  </si>
  <si>
    <t>PC PBT, Chi uy viên</t>
  </si>
  <si>
    <t>Chi uỷ viên</t>
  </si>
  <si>
    <t>Hưu xã</t>
  </si>
  <si>
    <t xml:space="preserve">Nguyên PBT, PCT , TT ĐU, UV, TK UBND, HĐND, XĐT </t>
  </si>
  <si>
    <t>Các chức danh còn lại</t>
  </si>
  <si>
    <t>Kinh phí hoạt động Hội bảo trợ người tàn tật &amp; TMC</t>
  </si>
  <si>
    <t>Chi đầu tư</t>
  </si>
  <si>
    <t>Thu ngân sách trên địa bàn (phần điều tiết ngân sách xã hưởng )</t>
  </si>
  <si>
    <t>Kinh phí điện, nước</t>
  </si>
  <si>
    <t>Kinh phí phục vụ máy photo, tem</t>
  </si>
  <si>
    <t>Chi nhiệm vụ phát sinh</t>
  </si>
  <si>
    <t xml:space="preserve">Chi nhiệm vụ phát sinh </t>
  </si>
  <si>
    <t>Kinh phí mua sắm tài sản, công cụ dụng cụ lâu bền</t>
  </si>
  <si>
    <t>Chi sự nghiệp kinh tế khác</t>
  </si>
  <si>
    <t>Kinh phí đào tạo (Lớp trung cấp)</t>
  </si>
  <si>
    <t>Kinh phí thực hiện chính sách khuyến học theo Nghị quyết số 82/2014/NQ-HĐND</t>
  </si>
  <si>
    <t>1.1</t>
  </si>
  <si>
    <t>1.2</t>
  </si>
  <si>
    <t>1.3</t>
  </si>
  <si>
    <t>1.4</t>
  </si>
  <si>
    <t>2.5</t>
  </si>
  <si>
    <t>2.6</t>
  </si>
  <si>
    <t>2.7</t>
  </si>
  <si>
    <t>2.8</t>
  </si>
  <si>
    <t>2.9</t>
  </si>
  <si>
    <t>2.10</t>
  </si>
  <si>
    <t>2.11</t>
  </si>
  <si>
    <t>2.12</t>
  </si>
  <si>
    <t>2.13</t>
  </si>
  <si>
    <t>2.14</t>
  </si>
  <si>
    <t>2.15</t>
  </si>
  <si>
    <t>2.16</t>
  </si>
  <si>
    <t>Nhóm mua sắm, sửa chữa tài sản (Nhóm III)</t>
  </si>
  <si>
    <t>KP hoạt động các đoàn thể</t>
  </si>
  <si>
    <t>Kinh phí khen thưởng (Hội đồng thi đua khen thưởng huyện)</t>
  </si>
  <si>
    <t>Ban chỉ huy quân sự huyện</t>
  </si>
  <si>
    <t>Công an huyện</t>
  </si>
  <si>
    <t>Kinh phí sửa chữa tài sản (ô tô và các tài sản khác); mua sắm tài sản khác</t>
  </si>
  <si>
    <t>Thu tiền thuê đất + thuê nhà</t>
  </si>
  <si>
    <t>(Kèm theo Tờ trình số: 4004/TTr-UBND ngày 09/12/2014 của UBND huyện Sốp Cộp)</t>
  </si>
  <si>
    <t xml:space="preserve">Kinh phí chi cho trung đội dân quân cơ động xã trực sẵn sàng chiến đấu, phối hợp với các lực lượng làm nhiệm vụ bảo vệ chính trị an ninh </t>
  </si>
  <si>
    <t>Biên chế sự nghiệp</t>
  </si>
  <si>
    <t>2.17</t>
  </si>
  <si>
    <t>Kinh phí bầu cử HĐND</t>
  </si>
  <si>
    <t>Kinh phí triển khai phần mềm quản lý hộ tịch</t>
  </si>
  <si>
    <t>2.18</t>
  </si>
  <si>
    <t>Kinh phí hoạt động Hội Chữ thập đỏ</t>
  </si>
  <si>
    <t>Kinh phí hoạt động Hội khuyến học</t>
  </si>
  <si>
    <t>Kinh phí thực hiện Đề án cải cách thủ tục hành chính</t>
  </si>
  <si>
    <t>5.1</t>
  </si>
  <si>
    <t>5.2</t>
  </si>
  <si>
    <t>5.3</t>
  </si>
  <si>
    <t>5.4</t>
  </si>
  <si>
    <t>Kinh phí chuyển hóa địa bàn trọng điểm, phức tạp về ANTT</t>
  </si>
  <si>
    <t>MN Hoa Ban I</t>
  </si>
  <si>
    <t>MN Hoa Chăm Pa</t>
  </si>
  <si>
    <t>MN Hoa Ban II</t>
  </si>
  <si>
    <t>MN Hoa phong lan</t>
  </si>
  <si>
    <t>MN Hoa phượng đỏ Sốp Cộp</t>
  </si>
  <si>
    <t>Hạt kiểm lâm</t>
  </si>
  <si>
    <t>Hạt kiểm lâm rừng đặc dụng</t>
  </si>
  <si>
    <t>Phòng Nông nghiệp &amp; PTNT</t>
  </si>
  <si>
    <t>Phòng Tài nguyên Môi trường</t>
  </si>
  <si>
    <t>Đội quản lý Môi trường đô thị</t>
  </si>
  <si>
    <t>1.5</t>
  </si>
  <si>
    <t>1.6</t>
  </si>
  <si>
    <t>Thanh tra huyện</t>
  </si>
  <si>
    <t>Kinh phí sửa chữa các công trình</t>
  </si>
  <si>
    <t>Hỗ trợ 4 quý phần nhiệm vụ địa phương phải đảm nhiệm</t>
  </si>
  <si>
    <t>Kinh phí diễn tập phòng cháy chữa cháy,</t>
  </si>
  <si>
    <t>Kinh phí diễn tập phòng cháy chữa cháy; diễn tâp trị an, cụm tác chiến; tập huấn, huấn luyện dân quân tự vệ, dự bị động viên; công tác tuyển quân</t>
  </si>
  <si>
    <t>Kinh phí hoạt động Trung tâm văn hóa</t>
  </si>
  <si>
    <t xml:space="preserve"> DỰ TOÁN THU ĐIỀU TIẾT NGÂN SÁCH  NĂM 2016</t>
  </si>
  <si>
    <t>Dự toán tỉnh giao 2016</t>
  </si>
  <si>
    <t>Dự toán huyện giao năm 2016</t>
  </si>
  <si>
    <t xml:space="preserve"> DỰ TOÁN THU NGÂN SÁCH HUYỆN NĂM 2016</t>
  </si>
  <si>
    <t xml:space="preserve"> DỰ TOÁN CHI TIẾT THU NGÂN SÁCH NĂM 2016</t>
  </si>
  <si>
    <t xml:space="preserve"> TỔNG HỢP DỰ TOÁN CHI NGÂN SÁCH HUYỆN NĂM 2016</t>
  </si>
  <si>
    <t>Dự toán 2016</t>
  </si>
  <si>
    <t>CHI TIẾT DỰ TOÁN CHI NGÂN SÁCH HUYỆN SỐP CỘP NĂM 2016</t>
  </si>
  <si>
    <t>Số giao dự toán năm 2016</t>
  </si>
  <si>
    <t>Tổng dự toán năm 2016</t>
  </si>
  <si>
    <t>Kinh phí giao tự chủ năm 2016</t>
  </si>
  <si>
    <t>Kinh phí không giao tự chủ năm 2016</t>
  </si>
  <si>
    <t>Tổng kinh phí thực hiện tự chủ năm 2016</t>
  </si>
  <si>
    <t>Tổng kinh phí thực hiện không tự chủ năm 2016</t>
  </si>
  <si>
    <t>DỰ TOÁN BỔ SUNG TRỢ CẤP CÂN ĐỐI NGÂN SÁCH CHO CÁC XÃ NĂM 2016</t>
  </si>
  <si>
    <t>DỰ TOÁN CHI NGÂN SÁCH XÃ NĂM 2016</t>
  </si>
  <si>
    <t xml:space="preserve">       - Thực hiện tiết kiệm chi thường xuyên 10% trong dự toán được giao năm 2016 để thực hiện CCTL theo Nghị định số 66/2013/NĐ-CP của Chính phủ.</t>
  </si>
  <si>
    <t>BẢNG TỔNG HỢP CÔNG CHỨC, VIÊN CHỨC XÃ NĂM 2016 THEO MỨC LƯƠNG 1.150.000 ĐỒNG</t>
  </si>
  <si>
    <t>Kinh phí phụ cấp báo cáo viên</t>
  </si>
  <si>
    <t>Kinh phí chi cấp uỷ Công an, Quân sự</t>
  </si>
  <si>
    <t>Kinh phí hội nghị của Ban thường vụ, Ban Chấp hành</t>
  </si>
  <si>
    <t>Phó Trưởng công an</t>
  </si>
  <si>
    <t>Chủ tịch Hội người cao tuổi kiêm phó chủ tịch UB MTTQVN</t>
  </si>
  <si>
    <t>Công an viên thường trực</t>
  </si>
  <si>
    <t>Phó Chủ tịch UBMTTQVN</t>
  </si>
  <si>
    <t>Chủ tịch Hội CTĐ</t>
  </si>
  <si>
    <t>Phó Bí thư đoàn TNCSHCM</t>
  </si>
  <si>
    <t>Phó Chủ tịch Hội PN</t>
  </si>
  <si>
    <t>Phó Chủ tịch Hội nông dân</t>
  </si>
  <si>
    <t>Phó Chủ tịch Hội CCB</t>
  </si>
  <si>
    <t xml:space="preserve">Nhân viên thú y </t>
  </si>
  <si>
    <t>Uỷ viên  thường trực UBMTTQVN</t>
  </si>
  <si>
    <t>Phó Chủ tịch Hội NCT</t>
  </si>
  <si>
    <t>Phó Chủ tịch Hội Khuyến học</t>
  </si>
  <si>
    <t>Nhân viên phòng chống ma tuý</t>
  </si>
  <si>
    <t>Nhân viên văn hoá truyền thanh</t>
  </si>
  <si>
    <t xml:space="preserve">Nhân viên thú y bản </t>
  </si>
  <si>
    <t>Chi hội trưởng Hội NCT</t>
  </si>
  <si>
    <t xml:space="preserve"> Chuyển nguồn 50% tăng thu ngân sách năm 2015 để thực hiện CCTL</t>
  </si>
  <si>
    <t xml:space="preserve"> 50% CCTL từ tăng thu NS năm 2016</t>
  </si>
  <si>
    <t xml:space="preserve"> 50% tăng thu NS năm 2016 để thực hiện các nhiệm vụ chi </t>
  </si>
  <si>
    <t>Kinh phí chi an ninh phục vụ các ngày lễ lớn, bầu cử</t>
  </si>
  <si>
    <t>Phòng Giáo dục và đào tạo (QLNN)</t>
  </si>
  <si>
    <t>(Kèm theo Tờ trình số:       /TTr-TCKH ngày     /11/2015 của UBND huyện Sốp Cộp)</t>
  </si>
  <si>
    <t>Thu chuyển nguồn (50% tăng thu ngân sách năm 2015 để thực hiện CCTL)</t>
  </si>
  <si>
    <t xml:space="preserve">                - Ban ATGT</t>
  </si>
  <si>
    <t>Kinh phí giao đầu năm 2016</t>
  </si>
  <si>
    <t>Kinh phí hoạt động sự nghiệp giáo dục</t>
  </si>
  <si>
    <t>Xã Sốp Cộp</t>
  </si>
  <si>
    <t>Trung tâm giáo dục thường xuyên và hướng nghiệp dạy nghề</t>
  </si>
  <si>
    <t>10.1</t>
  </si>
  <si>
    <t>10.2</t>
  </si>
  <si>
    <t>MN Sơn Ca xã Sam Kha</t>
  </si>
  <si>
    <t>MN biên cương Mường Lèo</t>
  </si>
  <si>
    <t>MN Hoa Đào Púng Bánh</t>
  </si>
  <si>
    <t>MN Họa mi Dồm Cang</t>
  </si>
  <si>
    <t>MN Ban Mai Nậm Lạnh</t>
  </si>
  <si>
    <t>MN hoa hồng Sốp Cộp</t>
  </si>
  <si>
    <t>1.7</t>
  </si>
  <si>
    <t>Kinh phí tổ chức Hội khỏe phù đổng cấp huyện và dự thi tại tỉnh</t>
  </si>
  <si>
    <t>Trạm khai thác và bảo vệ công trình thủy lợi</t>
  </si>
  <si>
    <t>Xã Nậm Lạnh</t>
  </si>
  <si>
    <t xml:space="preserve"> Kinh phí hoạt động Trung tâm Chính trị huyện</t>
  </si>
  <si>
    <t>Kinh phí bảo hiểm xe và chi sửa chữa tài sản khác</t>
  </si>
  <si>
    <t xml:space="preserve">Xã Mường Lèo </t>
  </si>
  <si>
    <t>Kinh phí sửa chữa nhà để xe thành phòng làm việc, phòng văn thư thành phòng khách Huyện ủy</t>
  </si>
  <si>
    <t>e</t>
  </si>
  <si>
    <t>KP tiền điện hộ nghèo</t>
  </si>
  <si>
    <t>Kinh phí tuyên truyền giáo dục pháp luật hòa giải cơ sở, chuẩn tiếp cận pháp luật và tủ sách pháp luật</t>
  </si>
  <si>
    <t>Kinh phí phụ cấp cộng tác viên công tác xã hội</t>
  </si>
  <si>
    <t>(Kèm theo Tờ trình số:                /TTr-UBND ngày      /12/2015 của UBND huyện Sốp Cộp)</t>
  </si>
  <si>
    <t>Kinh phí hoạt động Ban chỉ đạo phòng chống ma túy cấp xã</t>
  </si>
  <si>
    <t>KP triệt xóa, điều tra, xét xử các vụ án và đơn vị 4 không</t>
  </si>
  <si>
    <t>(Kèm theo Quyết định số: 2555/QĐ-UBND ngày 17/12/2015 của UBND huyện Sốp Cộp)</t>
  </si>
  <si>
    <t>4.1</t>
  </si>
  <si>
    <t>4.2</t>
  </si>
  <si>
    <t>Thanh toán trả nợ sửa chữa các công trình năm 2015</t>
  </si>
  <si>
    <t xml:space="preserve">Sự nghiệp giao thông, công nghiệp </t>
  </si>
  <si>
    <t>Sự nghiệp giao thông, công nghiệp</t>
  </si>
  <si>
    <t>Phụ lục số 01</t>
  </si>
  <si>
    <t>(Kèm theo Nghị quyết số 122/2015/NQ-HĐND ngày 17 tháng 12 năm 2015 của HĐND huyện Sốp Cộp)</t>
  </si>
  <si>
    <t>TỔNG THU NGÂN SÁCH</t>
  </si>
  <si>
    <t>Trong đó: Thu phạt an toàn giao thông</t>
  </si>
  <si>
    <t>Trung tâm Giáo dục thường xuyên</t>
  </si>
  <si>
    <t>Phòng Giáo dục - Đào tạo</t>
  </si>
  <si>
    <t>Trung tâm Văn hoá</t>
  </si>
  <si>
    <t>Đài Truyền thanh - Truyền hình</t>
  </si>
  <si>
    <t>Phòng Giáo dục và Đào tạo</t>
  </si>
  <si>
    <t>Dự toán 
tỉnh giao năm 2016</t>
  </si>
  <si>
    <t>Phụ lục số 02</t>
  </si>
  <si>
    <t xml:space="preserve">    Đơn vị tính: Nghìn đồng</t>
  </si>
  <si>
    <t>Phụ lục số 03</t>
  </si>
  <si>
    <t>Thuế CTN - DV (NQD)</t>
  </si>
  <si>
    <t>TỔNG CỘNG</t>
  </si>
  <si>
    <t>Phụ lục số 04</t>
  </si>
  <si>
    <t xml:space="preserve">  CHI ĐẦU TƯ XÂY DỰNG CƠ BẢN</t>
  </si>
  <si>
    <t>TỔNG SỐ A + B + C + D</t>
  </si>
  <si>
    <t xml:space="preserve">                + KP quy hoạch, giao đất, kiểm kê đất đai</t>
  </si>
  <si>
    <t>CHI THƯỜNG XUYÊN</t>
  </si>
  <si>
    <t>Chi sự nghiệp kinh tế</t>
  </si>
  <si>
    <t>Sự nghiệp nông - lâm nghiệp</t>
  </si>
  <si>
    <t>Kinh phí chính sách miễn thủy lợi phí theo Nghị định số 67/NĐ-CP</t>
  </si>
  <si>
    <t>Kinh phí sử dụng đất trồng lúa theo Nghị định số 35/2015/NĐ-CP</t>
  </si>
  <si>
    <t>Xã Dồm Cang</t>
  </si>
  <si>
    <t>Xã Sam Kha</t>
  </si>
  <si>
    <t>Xã Mường Lạn</t>
  </si>
  <si>
    <t>Xã Mường Lèo</t>
  </si>
  <si>
    <t>Xã Púng Bánh</t>
  </si>
  <si>
    <t>Xã Mường Và</t>
  </si>
  <si>
    <t>Chi phát triển giao thông nông thôn, duy tu (sửa chữa các công trình năm 2015)</t>
  </si>
  <si>
    <t>Xã Dồm Cang (sửa chữa, nâng cấp đường vào trụ sở HĐND-UBND xã)</t>
  </si>
  <si>
    <t>Xã Púng Bánh (sửa chữa nâng cấp tuyến đường giao thông bản Lùn xã Púng Bánh)</t>
  </si>
  <si>
    <t>Chi phát triển GTNT theo Nghị quyết số 115/NQ-HĐND</t>
  </si>
  <si>
    <t>Phòng Nông nghiệp &amp; Phát triển nông thôn</t>
  </si>
  <si>
    <t>Phòng Tài nguyên và Môi trường</t>
  </si>
  <si>
    <t>Bệnh viện Đa khoa</t>
  </si>
  <si>
    <t>Văn phòng HĐND - UBND (sửa chữa đường từ Trụ sở UBND đến nhà khách, di chuyển nhà công vụ)</t>
  </si>
  <si>
    <t>Kinh phí hỗ trợ diện tích trồng lúa theo Nghị định số 42/NĐ-CP (Trả nợ năm 2015)</t>
  </si>
  <si>
    <t>Kinh phí thực hiện nước sinh hoạt theo Nghị quyết số 93</t>
  </si>
  <si>
    <t>KP thực hiện Nghị quyết số 61, Nghị quyết số 81</t>
  </si>
  <si>
    <t>Kinh phí thực hiện chính sách đối với người khuyết tật theo Nghị định số 28/NĐ-CP</t>
  </si>
  <si>
    <t>Sự nghiệp giáo dục - đào tạo</t>
  </si>
  <si>
    <t>KP thực hiện theo Quyết định số 85/QĐ-TTg</t>
  </si>
  <si>
    <t>Khối tiểu học</t>
  </si>
  <si>
    <t>Sự nghiệp y tế</t>
  </si>
  <si>
    <t>Trung tâm Y tế (Chương 623 Khoản 523)</t>
  </si>
  <si>
    <t>Trung tâm Y tế (Chương 648 Khoản 521)</t>
  </si>
  <si>
    <t>Hỗ trợ túi thuốc bản ĐBKK (Trung tâm Y tế Chương 623 Khoản 523)</t>
  </si>
  <si>
    <t>Mua thiết bị y tế (Trung tâm Y tế Chương 648 Khoản 521)</t>
  </si>
  <si>
    <t>Trung tâm Văn hoá - Thể thao</t>
  </si>
  <si>
    <t xml:space="preserve">KP cuộc VĐTDĐKXD ĐS dân cư </t>
  </si>
  <si>
    <t>Trung tâm Giáo dục lao động</t>
  </si>
  <si>
    <t>Kinh phí Methadone theo KH 73 (Trung tâm Y tế)</t>
  </si>
  <si>
    <t>KP thực hiện Nghị định số 136/NĐ-CP (Phòng Lao động TB&amp;XH)</t>
  </si>
  <si>
    <t>KP thực hiện Quyết định số 102/QĐ-TTg (Phòng Dân tộc)</t>
  </si>
  <si>
    <t>Quà Tết nguyên đán</t>
  </si>
  <si>
    <t>Huyện uỷ</t>
  </si>
  <si>
    <t>Kinh phí sửa chữa nhà để xe thành phòng làm việc, phòng Văn thư thành phòng khách Huyện ủy</t>
  </si>
  <si>
    <t>KP thăm hỏi người có uy tín theo Quyết định số 18/QĐ-TTg (Phòng Dân tộc)</t>
  </si>
  <si>
    <t>Quản lý Nhà nước</t>
  </si>
  <si>
    <t>Kinh phí hoạt động Ban Chỉ đạo 2118</t>
  </si>
  <si>
    <t xml:space="preserve">Kinh phí mạng cáp quang phòng họp trực tuyến + cáp quang trụ sở HĐND - UBND + quản trị 2 mạng </t>
  </si>
  <si>
    <t>Kinh phí sửa chữa các công trình: Sửa nhà khách UBND huyện, sửa chữa nhà công vụ Thường trực UBND huyện</t>
  </si>
  <si>
    <t>Kinh phí trực tiếp công dân, một cửa năm 2015, năm 2016</t>
  </si>
  <si>
    <t>Phòng Nông nghiệp và Phát triển nông thôn</t>
  </si>
  <si>
    <t>Phòng Lao động TB và XH</t>
  </si>
  <si>
    <t>Phòng Y tế</t>
  </si>
  <si>
    <t>Kinh phí hoạt động Ban Chỉ đạo 2968</t>
  </si>
  <si>
    <t>Văn phòng HĐND - UBND huyện</t>
  </si>
  <si>
    <t>Mặt trận Tổ quốc</t>
  </si>
  <si>
    <t>Giám sát cộng đồng theo Quyết định số 80/QĐ-TTg</t>
  </si>
  <si>
    <t xml:space="preserve">Kinh phí cuộc VĐTDĐKXD ĐS khu dân cư </t>
  </si>
  <si>
    <t>Kinh phí Ban đại diện Hội người cao tuổi</t>
  </si>
  <si>
    <t>Kinh phí thực hiện Nghị quyết số 65, Nghị quyết số 105</t>
  </si>
  <si>
    <t>Hội Phụ nữ</t>
  </si>
  <si>
    <t>Kinh phí hoạt động Trung tâm chính trị huyện</t>
  </si>
  <si>
    <t>Kinh phí sửa chữa trụ sở làm việc</t>
  </si>
  <si>
    <t>Kinh phí giao ban, bảo vệ đường biên mốc giới</t>
  </si>
  <si>
    <t>Kinh phí chi Công an bản</t>
  </si>
  <si>
    <t>Cấp xã (giao ban 4 xã biên giới: 400 trđ, bảo vệ đường biên mốc giới: 225 trđ, chi an ninh 4 xã biên giới 80 trđ)</t>
  </si>
  <si>
    <t>Cấp huyện (Văn phòng HĐND - UBND)</t>
  </si>
  <si>
    <t>Cấp huyện (Bệnh viện Đa khoa)</t>
  </si>
  <si>
    <t>Phụ cấp Dân quân tự vệ</t>
  </si>
  <si>
    <t>KP chi an ninh - quốc phòng</t>
  </si>
  <si>
    <t>Kinh phí diễn tập phòng cháy chữa cháy; diễn tập trị an, cụm tác chiến; tập huấn, huấn luyện dân quân tự vệ, dự bị động viên; công tác tuyển quân</t>
  </si>
  <si>
    <t>Cấp xã (chi an ninh 4 xã nội địa: 65 trđ, chi quốc phòng cho 8 xã 80 trđ)</t>
  </si>
  <si>
    <t xml:space="preserve"> Chi CCTL từ nguồn 50% tăng thu NS </t>
  </si>
  <si>
    <t>Kinh phí lắp đặt mạng Lan trụ sở HĐND - UBND</t>
  </si>
  <si>
    <t>Trung tâm Giáo dục TX (chi thường xuyên)</t>
  </si>
  <si>
    <t>Trung tâm Văn hoá (chi thường xuyên)</t>
  </si>
  <si>
    <t>CHI CHƯƠNG TRÌNH MỤC TIÊU NSĐP</t>
  </si>
  <si>
    <t>CÁC KHOẢN GHI CHI QUA NSNN</t>
  </si>
  <si>
    <t>Hỗ trợ các hoạt động văn hoá nhân ngày "Đại đoàn kết toàn dân"</t>
  </si>
  <si>
    <t>KP hỗ trợ cước vận chuyển gạo theo Quyết định số 36/QĐ-TTg</t>
  </si>
  <si>
    <t>Phụ lục số 05</t>
  </si>
  <si>
    <t>Chi phát triển GTNT theo Nghiị quyết số 115/NQ-HĐND</t>
  </si>
  <si>
    <t>Kinh phí hỗ trợ cước vận chuyển gạo theo Quyết định số 36/QĐ-TTg</t>
  </si>
  <si>
    <t>Trung tâm Giáo dục thường xuyên và hướng nghiệp dạy nghề</t>
  </si>
  <si>
    <t>KP thực hiện Trung tâm giáo dục cộng đồng</t>
  </si>
  <si>
    <t>Hỗ trợ túi thuốc bản ĐBKK Trung tâm Y tế (Chương 623 Khoản 523)</t>
  </si>
  <si>
    <t>Mua thiết bị y tế Trung tâm Y tế (Chương 648 Khoản 521)</t>
  </si>
  <si>
    <t xml:space="preserve"> Sự nghiệp văn hoá </t>
  </si>
  <si>
    <t>Kinh phí triệt xóa, điều tra, xét xử các vụ án và đơn vị 4 không</t>
  </si>
  <si>
    <t>Kinh phí Methadone theo KH 73 (Trung tâm Y tế Chương 623 Khoản 523)</t>
  </si>
  <si>
    <t>KP hội nghị của Ban thường vụ, Ban Chấp hành</t>
  </si>
  <si>
    <t>Kinh phí Ban Chỉ đạo cuộc vận động "Học tập và làm theo tấm gương đạo đức HCM"</t>
  </si>
  <si>
    <t>Kinh phí Văn phòng HĐND - UBND</t>
  </si>
  <si>
    <t xml:space="preserve">KP mạng cáp quang phòng họp trực tuyến + cáp quang trụ sở HĐND-UBND + quản trị 2 mạng </t>
  </si>
  <si>
    <t>Kinh phí phổ biến pháp luật</t>
  </si>
  <si>
    <t>KP hoạt động Hội bảo trợ người tàn tật &amp; TMC</t>
  </si>
  <si>
    <t>Trong đó: Kinh phí hoạt động Ban vì sự tiến bộ phụ nữ</t>
  </si>
  <si>
    <t>Phòng Dân tộc</t>
  </si>
  <si>
    <t>Phòng Giáo dục và Đào tạo (QLNN)</t>
  </si>
  <si>
    <t>KP Ban đại diện Hội người cao tuổi</t>
  </si>
  <si>
    <t>Kinh phí thực hiện Nghị quyết 65, Nghị quyết số 115</t>
  </si>
  <si>
    <t>KP thực hiện Luật DQTV</t>
  </si>
  <si>
    <t xml:space="preserve"> Chi sự nghiệp giáo dục - đào tạo</t>
  </si>
  <si>
    <t>KP thực hiện Nghị định số 136/NĐ-CP (Phòng Lao động TB &amp; XH)</t>
  </si>
  <si>
    <t>Trung tâm giáo dục TX (chi thường xuyên)</t>
  </si>
  <si>
    <t>Kinh phí hoạt động Trung tâm Văn hóa</t>
  </si>
  <si>
    <t>Tổng số BC 
năm 2016</t>
  </si>
  <si>
    <t>BC 
hợp đồng</t>
  </si>
  <si>
    <t>Nhóm chi khác (Nhóm IV)</t>
  </si>
  <si>
    <t>322.566.000</t>
  </si>
  <si>
    <t>165.072.300</t>
  </si>
  <si>
    <t>150.344.300</t>
  </si>
  <si>
    <t>14.034.000</t>
  </si>
  <si>
    <t>694.000</t>
  </si>
  <si>
    <t>73.605.329</t>
  </si>
  <si>
    <t>15.704.340</t>
  </si>
  <si>
    <t>11.686.477</t>
  </si>
  <si>
    <t>21.224.200</t>
  </si>
  <si>
    <t>24.129.312</t>
  </si>
  <si>
    <t>6.106.000</t>
  </si>
  <si>
    <t>307.221.000</t>
  </si>
  <si>
    <t>72.648.329</t>
  </si>
  <si>
    <t>15.339.540</t>
  </si>
  <si>
    <t>11.197.477</t>
  </si>
  <si>
    <t>21.154.000</t>
  </si>
  <si>
    <t>22.877.312</t>
  </si>
  <si>
    <t>2.080.000</t>
  </si>
  <si>
    <t>150.657.000</t>
  </si>
  <si>
    <t>124.030.000</t>
  </si>
  <si>
    <t>115.830.000</t>
  </si>
  <si>
    <t>136.390.000</t>
  </si>
  <si>
    <t>1.572</t>
  </si>
  <si>
    <t>1.213</t>
  </si>
  <si>
    <t>343</t>
  </si>
  <si>
    <t>Xã Dồm Cang (sửa chữa, nâng cấp đường vào trụ sở HĐND - UBND xã)</t>
  </si>
  <si>
    <t>1.020</t>
  </si>
  <si>
    <t>8.200.000</t>
  </si>
  <si>
    <t>225.000</t>
  </si>
  <si>
    <t>1.850.000</t>
  </si>
  <si>
    <t>297</t>
  </si>
  <si>
    <t>36.355.000</t>
  </si>
  <si>
    <t>32.440.000</t>
  </si>
  <si>
    <t>30.050.000</t>
  </si>
  <si>
    <t>650.000</t>
  </si>
  <si>
    <t>414</t>
  </si>
  <si>
    <t>59.905.000</t>
  </si>
  <si>
    <t>56.050.000</t>
  </si>
  <si>
    <t>52.750.000</t>
  </si>
  <si>
    <t>3.300.000</t>
  </si>
  <si>
    <t>3.855.000</t>
  </si>
  <si>
    <t>3.255.000</t>
  </si>
  <si>
    <t>600.000</t>
  </si>
  <si>
    <t>37.055.000</t>
  </si>
  <si>
    <t>32.690.000</t>
  </si>
  <si>
    <t>30.400.000</t>
  </si>
  <si>
    <t>285</t>
  </si>
  <si>
    <t>2.290.000</t>
  </si>
  <si>
    <t>4.365.000</t>
  </si>
  <si>
    <t>3.765.000</t>
  </si>
  <si>
    <t>Kinh phí diễn tập phòng cháy chữa cháy</t>
  </si>
  <si>
    <t>750.000</t>
  </si>
  <si>
    <t>Chi 
thường xuyên</t>
  </si>
  <si>
    <t>207.280</t>
  </si>
  <si>
    <t>50.000</t>
  </si>
  <si>
    <t>CỘNG</t>
  </si>
  <si>
    <t>Phụ lục số 06</t>
  </si>
  <si>
    <t>Phụ lục số 07</t>
  </si>
  <si>
    <t>TỔNG CHI NGÂN SÁCH</t>
  </si>
  <si>
    <t>Theo Nghị quyết số 72</t>
  </si>
  <si>
    <t>Phụ cấp thâm niên CA xã, CTV theo Nghị định số 58/NĐ-CP, Nghị định số 73/NĐ-CP</t>
  </si>
  <si>
    <t>Kinh phí bản quản lý đường biên, cột mốc theo Nghị quyết số 342</t>
  </si>
  <si>
    <t>KP hoạt động thường xuyên theo Thông tư số 119/TT-BTC-BYT</t>
  </si>
  <si>
    <t>Theo Nghị quyết số 342 (2 triệu/đội văn nghệ)</t>
  </si>
  <si>
    <t>Kinh phí hoạt động văn hoá "Nhân ngày đại đoàn kết toàn dân"</t>
  </si>
  <si>
    <t>KP hoạt động công tác Đảng theo Quyết định số 99/QĐ-TW ngày 30 tháng 5 năm 2013</t>
  </si>
  <si>
    <t>Kinh phí thực hiện theo Quyết định số 169/QĐ-TW ngày 24 tháng 6 năm 2008 (Phụ cấp của cấp uỷ viên)</t>
  </si>
  <si>
    <t>Kinh phí hoạt động của các chi hội theo Nghị quyết số 73/2014/NQ-HĐND</t>
  </si>
  <si>
    <t>Các khoản chi còn lại: (Bao gồm: Hoạt động HĐND, KP khen thưởng, công tác phí, họp HĐND xã, trực điện thoại, hội nghị, khen thưởng, VPP, chi thường xuyên...)</t>
  </si>
  <si>
    <r>
      <t xml:space="preserve">       Ghi chú:</t>
    </r>
    <r>
      <rPr>
        <sz val="12"/>
        <rFont val="Times New Roman"/>
        <family val="1"/>
      </rPr>
      <t xml:space="preserve"> </t>
    </r>
  </si>
  <si>
    <t xml:space="preserve">       - Dự toán năm 2016 đã bố trí chi hoạt động của HĐND các xã theo Nghị quyết số 67/NQ-HĐND ngày 03 tháng 4 năm 2014 của HĐND tỉnh; KP hỗ trợ công tác xây dựng các văn bản QPPL theo Nghị quyết số 29/NQ-HĐND ngày 29 tháng 9 năm 2012; kinh phí quy định mức chi đảm bảo công tác cải cách hành chính Nhà nước trên địa bàn tỉnh Sơn La theo Nghị quyết số 45/2013/NQ-HĐND ngày 14 tháng 3 năm 2013 của HĐND tỉnh; kinh phí bồi dưỡng công tác tiếp công dân, xử lý đơn thư khiếu nại, tố cáo theo Nghị quyết số 27/2012/NQ-HĐND ngày 19 tháng 9 năm 2012 của HĐND tỉnh khoá XIII.</t>
  </si>
  <si>
    <t xml:space="preserve">       - Bố trí kinh phí thực hiện chế độ phụ cấp đối với những người không chuyên trách ở xã, bản theo Nghị quyết số 71/NQ-UĐND, 72/2014/NQ-HĐND ngày 03 tháng 4 năm 2014 của HĐND tỉnh; kinh phí hoạt động công tác Đảng của các chi bộ y tế, chi bộ trường học trực thuộc đảng bộ xã theo Quyết định số 99-QĐ/TW của Ban Bí thư Trung ương.</t>
  </si>
  <si>
    <t xml:space="preserve">       - Kinh phí thực hiện chế độ phụ cấp công vụ theo Nghị định số 34/NĐ-CP, kinh phí thực hiện chế dộ đối với cán bộ, công chức theo Nghị định số 116/NĐ-CP </t>
  </si>
  <si>
    <t xml:space="preserve">       - Kinh phí thực hiện chế độ phụ cấp đối với cán bộ không chuyên trách cấp xã, bản theo Nghị định số 66/2013/NĐ-CP của Chính phủ.</t>
  </si>
  <si>
    <t xml:space="preserve">       - Chi an ninh quốc phòng và đối ngoại đã bao gồm kinh phí phụ cấp trách nhiệm quản lý đối với cán bộ chỉ huy dân quân tự vệ; phụ cấp thâm niên công an xã; Chỉ huy Trưởng, chính trị viên, chính trị viên Phó, chỉ huy phó Ban chỉ huy quân sự cấp xã theo Nghị định số 58/2010/NĐ-CP và Nghị định số 73/NĐ-CP của Chính phủ; phụ cấp đối với Công an viên thuộc xã trọng điểm quốc phòng - an ninh.</t>
  </si>
  <si>
    <t>Phụ lục số 08</t>
  </si>
  <si>
    <t>Bí Thư</t>
  </si>
  <si>
    <t>Phó Bí Thư</t>
  </si>
  <si>
    <t>Phó Chủ tịch HĐND</t>
  </si>
  <si>
    <t>Chủ tịch UBND</t>
  </si>
  <si>
    <t>Phó Chủ tịch UBND</t>
  </si>
  <si>
    <t>Chủ tịch MTTQ</t>
  </si>
  <si>
    <t>Bí thư ĐTN</t>
  </si>
  <si>
    <t>Chủ tịch Hội PN</t>
  </si>
  <si>
    <t>Chủ tịch HND</t>
  </si>
  <si>
    <t>Chủ tịch HCCB</t>
  </si>
  <si>
    <t>Phó trưởng CA - ANXH</t>
  </si>
  <si>
    <t>Phó trưởng CA - PCTP</t>
  </si>
  <si>
    <t>VH - LĐTBXH</t>
  </si>
  <si>
    <t>Phó chỉ huy quân sự</t>
  </si>
  <si>
    <t>Chủ tịch Hội LHPN</t>
  </si>
  <si>
    <t>Chủ tịch Hội nông dân</t>
  </si>
  <si>
    <t>Chủ tịch Hội CCB</t>
  </si>
  <si>
    <t>Khẩu đội trưởng cối 60 mm</t>
  </si>
  <si>
    <t>Phụ uỷ viên (theo Quyết định số 169)</t>
  </si>
  <si>
    <t>Phó Bí thư</t>
  </si>
  <si>
    <t xml:space="preserve">Phụ cấp HĐND </t>
  </si>
  <si>
    <t>Nguyên Bí thư, Chủ tịch</t>
  </si>
  <si>
    <t>1.100.000</t>
  </si>
  <si>
    <t>27.656.000</t>
  </si>
  <si>
    <t>12.990.040</t>
  </si>
  <si>
    <t>6.796.240</t>
  </si>
  <si>
    <t>133.000</t>
  </si>
  <si>
    <t>756.240</t>
  </si>
  <si>
    <t>13.240.000</t>
  </si>
  <si>
    <t>8.081.212</t>
  </si>
  <si>
    <t>5.313.500</t>
  </si>
  <si>
    <t>1.813.500</t>
  </si>
  <si>
    <t>38.165.460</t>
  </si>
  <si>
    <t>427.540</t>
  </si>
  <si>
    <t>8.884.000</t>
  </si>
  <si>
    <t>1.864.300</t>
  </si>
  <si>
    <t>905.000</t>
  </si>
  <si>
    <t>705.000</t>
  </si>
  <si>
    <t>970.300</t>
  </si>
  <si>
    <t>7.909.600</t>
  </si>
  <si>
    <t>2.146.600</t>
  </si>
  <si>
    <t>282.300</t>
  </si>
  <si>
    <t>227.700</t>
  </si>
  <si>
    <t>608.000</t>
  </si>
  <si>
    <t>80.000</t>
  </si>
  <si>
    <t>4.370.000</t>
  </si>
  <si>
    <t>5.763.000</t>
  </si>
  <si>
    <t>688.000</t>
  </si>
  <si>
    <t>145.000</t>
  </si>
  <si>
    <t>1.219.000</t>
  </si>
  <si>
    <t>381.000</t>
  </si>
  <si>
    <t>222.000</t>
  </si>
  <si>
    <t>342.900</t>
  </si>
  <si>
    <t>Tổng Cộng</t>
  </si>
  <si>
    <t>Chi huy Trưởng quân sự</t>
  </si>
  <si>
    <t>Kinh phí 
cả năm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</si>
</sst>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_(* #,##0.0_);_(* \(#,##0.0\);_(* &quot;-&quot;??_);_(@_)"/>
    <numFmt numFmtId="167" formatCode="_(* #,##0_);_(* \(#,##0\);_(* &quot;-&quot;???_);_(@_)"/>
    <numFmt numFmtId="168" formatCode="_(* #,##0.0000_);_(* \(#,##0.0000\);_(* &quot;-&quot;??_);_(@_)"/>
    <numFmt numFmtId="169" formatCode="#,##0.00;[Red]#,##0.00"/>
    <numFmt numFmtId="170" formatCode="#,##0;[Red]#,##0"/>
  </numFmts>
  <fonts count="46">
    <font>
      <sz val="12"/>
      <name val="Times New Roman"/>
      <family val="0"/>
    </font>
    <font>
      <b/>
      <sz val="12"/>
      <name val="Times New Roman"/>
      <family val="1"/>
    </font>
    <font>
      <sz val="10"/>
      <name val="Times New Roman"/>
      <family val="1"/>
    </font>
    <font>
      <b/>
      <sz val="14"/>
      <name val="Times New Roman"/>
      <family val="1"/>
    </font>
    <font>
      <b/>
      <i/>
      <sz val="12"/>
      <name val="Times New Roman"/>
      <family val="1"/>
    </font>
    <font>
      <b/>
      <sz val="10"/>
      <name val="Times New Roman"/>
      <family val="1"/>
    </font>
    <font>
      <sz val="8"/>
      <name val="Times New Roman"/>
      <family val="1"/>
    </font>
    <font>
      <b/>
      <sz val="8"/>
      <name val="Times New Roman"/>
      <family val="1"/>
    </font>
    <font>
      <i/>
      <sz val="11"/>
      <name val="Times New Roman"/>
      <family val="1"/>
    </font>
    <font>
      <b/>
      <sz val="11"/>
      <name val="Times New Roman"/>
      <family val="1"/>
    </font>
    <font>
      <sz val="11"/>
      <name val="Times New Roman"/>
      <family val="1"/>
    </font>
    <font>
      <b/>
      <sz val="8"/>
      <name val="Tahoma"/>
      <family val="2"/>
    </font>
    <font>
      <sz val="8"/>
      <name val="Tahoma"/>
      <family val="2"/>
    </font>
    <font>
      <i/>
      <sz val="12"/>
      <name val="Times New Roman"/>
      <family val="1"/>
    </font>
    <font>
      <i/>
      <sz val="10"/>
      <name val="Times New Roman"/>
      <family val="1"/>
    </font>
    <font>
      <i/>
      <sz val="13"/>
      <name val="Times New Roman"/>
      <family val="1"/>
    </font>
    <font>
      <sz val="9"/>
      <name val="Tahoma"/>
      <family val="2"/>
    </font>
    <font>
      <b/>
      <sz val="9"/>
      <name val="Tahoma"/>
      <family val="2"/>
    </font>
    <font>
      <b/>
      <sz val="12"/>
      <color indexed="10"/>
      <name val="Times New Roman"/>
      <family val="1"/>
    </font>
    <font>
      <b/>
      <sz val="13"/>
      <name val="Times New Roman"/>
      <family val="1"/>
    </font>
    <font>
      <sz val="13"/>
      <name val="Times New Roman"/>
      <family val="1"/>
    </font>
    <font>
      <i/>
      <sz val="10.5"/>
      <name val="Times New Roman"/>
      <family val="1"/>
    </font>
    <font>
      <b/>
      <i/>
      <sz val="13"/>
      <name val="Times New Roman"/>
      <family val="1"/>
    </font>
    <font>
      <b/>
      <sz val="7"/>
      <name val="Times New Roman"/>
      <family val="1"/>
    </font>
    <font>
      <sz val="7"/>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4"/>
      <name val="Times New Roman"/>
      <family val="1"/>
    </font>
    <font>
      <b/>
      <i/>
      <sz val="14"/>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hair"/>
    </border>
    <border>
      <left style="thin"/>
      <right style="thin"/>
      <top style="thin"/>
      <bottom style="hair"/>
    </border>
    <border>
      <left>
        <color indexed="63"/>
      </left>
      <right style="thin"/>
      <top style="hair"/>
      <bottom style="hair"/>
    </border>
    <border>
      <left style="thin"/>
      <right style="thin"/>
      <top style="hair"/>
      <bottom style="hair"/>
    </border>
    <border>
      <left>
        <color indexed="63"/>
      </left>
      <right style="thin"/>
      <top style="hair"/>
      <bottom style="thin"/>
    </border>
    <border>
      <left style="thin"/>
      <right style="thin"/>
      <top style="hair"/>
      <bottom style="thin"/>
    </border>
    <border>
      <left>
        <color indexed="63"/>
      </left>
      <right>
        <color indexed="63"/>
      </right>
      <top>
        <color indexed="63"/>
      </top>
      <bottom style="thin"/>
    </border>
    <border>
      <left style="thin"/>
      <right>
        <color indexed="63"/>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40" fillId="20"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8">
    <xf numFmtId="0" fontId="0" fillId="0" borderId="0" xfId="0" applyAlignment="1">
      <alignment/>
    </xf>
    <xf numFmtId="164" fontId="2" fillId="0" borderId="0" xfId="42" applyNumberFormat="1" applyFont="1" applyFill="1" applyAlignment="1">
      <alignment vertical="center"/>
    </xf>
    <xf numFmtId="164" fontId="0" fillId="0" borderId="0" xfId="42" applyNumberFormat="1" applyFont="1" applyFill="1" applyAlignment="1">
      <alignment vertical="center"/>
    </xf>
    <xf numFmtId="164" fontId="1" fillId="0" borderId="0" xfId="42" applyNumberFormat="1" applyFont="1" applyFill="1" applyAlignment="1">
      <alignment horizontal="center" vertical="center"/>
    </xf>
    <xf numFmtId="0" fontId="10" fillId="0" borderId="0" xfId="0" applyFont="1" applyFill="1" applyAlignment="1">
      <alignment vertical="center"/>
    </xf>
    <xf numFmtId="0" fontId="0" fillId="0" borderId="0" xfId="0" applyFont="1" applyFill="1" applyAlignment="1">
      <alignment vertical="center"/>
    </xf>
    <xf numFmtId="0" fontId="13" fillId="0" borderId="0" xfId="0" applyFont="1" applyFill="1" applyBorder="1" applyAlignment="1">
      <alignment horizontal="center" vertical="center"/>
    </xf>
    <xf numFmtId="164" fontId="13" fillId="0" borderId="0" xfId="0" applyNumberFormat="1" applyFont="1" applyFill="1" applyBorder="1" applyAlignment="1">
      <alignment horizontal="center" vertical="center"/>
    </xf>
    <xf numFmtId="164" fontId="14" fillId="0" borderId="0" xfId="0" applyNumberFormat="1" applyFont="1" applyFill="1" applyBorder="1" applyAlignment="1">
      <alignment horizontal="center" vertical="center"/>
    </xf>
    <xf numFmtId="164" fontId="0" fillId="0" borderId="0" xfId="0" applyNumberFormat="1" applyFont="1" applyFill="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9" fillId="0" borderId="10" xfId="0" applyFont="1" applyFill="1" applyBorder="1" applyAlignment="1">
      <alignment horizontal="center" vertical="center"/>
    </xf>
    <xf numFmtId="164" fontId="5" fillId="0" borderId="0" xfId="0" applyNumberFormat="1" applyFont="1" applyFill="1" applyAlignment="1">
      <alignment vertical="center"/>
    </xf>
    <xf numFmtId="164" fontId="9" fillId="0" borderId="0" xfId="42" applyNumberFormat="1" applyFont="1" applyFill="1" applyAlignment="1">
      <alignment vertical="center"/>
    </xf>
    <xf numFmtId="164" fontId="10" fillId="0" borderId="0" xfId="0" applyNumberFormat="1" applyFont="1" applyFill="1" applyAlignment="1">
      <alignment vertical="center"/>
    </xf>
    <xf numFmtId="0" fontId="9" fillId="0" borderId="0" xfId="0" applyFont="1" applyFill="1" applyAlignment="1">
      <alignment vertical="center"/>
    </xf>
    <xf numFmtId="164" fontId="10" fillId="0" borderId="0" xfId="42" applyNumberFormat="1" applyFont="1" applyFill="1" applyAlignment="1">
      <alignment vertical="center"/>
    </xf>
    <xf numFmtId="0" fontId="8" fillId="0" borderId="0" xfId="0" applyFont="1" applyFill="1" applyAlignment="1">
      <alignment vertical="center"/>
    </xf>
    <xf numFmtId="0" fontId="1" fillId="0" borderId="0" xfId="0" applyFont="1" applyFill="1" applyAlignment="1">
      <alignment vertical="center"/>
    </xf>
    <xf numFmtId="164" fontId="1" fillId="0" borderId="0" xfId="0" applyNumberFormat="1" applyFont="1" applyFill="1" applyAlignment="1">
      <alignment vertical="center"/>
    </xf>
    <xf numFmtId="0" fontId="4" fillId="0" borderId="0" xfId="0" applyFont="1" applyFill="1" applyAlignment="1">
      <alignment vertical="center"/>
    </xf>
    <xf numFmtId="0" fontId="13" fillId="0" borderId="0" xfId="0" applyFont="1" applyFill="1" applyAlignment="1">
      <alignment vertical="center"/>
    </xf>
    <xf numFmtId="0" fontId="1" fillId="0" borderId="10" xfId="0" applyFont="1" applyFill="1" applyBorder="1" applyAlignment="1">
      <alignment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164" fontId="1" fillId="0" borderId="0" xfId="42" applyNumberFormat="1" applyFont="1" applyFill="1" applyAlignment="1">
      <alignment vertical="center"/>
    </xf>
    <xf numFmtId="43" fontId="1" fillId="0" borderId="0" xfId="42" applyFont="1" applyFill="1" applyAlignment="1">
      <alignment vertical="center"/>
    </xf>
    <xf numFmtId="164" fontId="13" fillId="0" borderId="0" xfId="42" applyNumberFormat="1" applyFont="1" applyFill="1" applyAlignment="1">
      <alignment vertical="center"/>
    </xf>
    <xf numFmtId="0" fontId="1" fillId="0" borderId="0" xfId="0" applyFont="1" applyFill="1" applyAlignment="1">
      <alignment horizontal="left" vertical="center"/>
    </xf>
    <xf numFmtId="0" fontId="9" fillId="0" borderId="0" xfId="0" applyFont="1" applyFill="1" applyAlignment="1">
      <alignment horizontal="center" vertical="center"/>
    </xf>
    <xf numFmtId="0" fontId="1" fillId="0" borderId="0" xfId="0" applyNumberFormat="1" applyFont="1" applyFill="1" applyAlignment="1">
      <alignment vertical="center"/>
    </xf>
    <xf numFmtId="167" fontId="1" fillId="0" borderId="0" xfId="0" applyNumberFormat="1" applyFont="1" applyFill="1" applyAlignment="1">
      <alignment vertical="center"/>
    </xf>
    <xf numFmtId="9" fontId="1" fillId="0" borderId="0" xfId="64" applyFont="1" applyFill="1" applyAlignment="1">
      <alignment vertical="center"/>
    </xf>
    <xf numFmtId="167" fontId="0" fillId="0" borderId="0" xfId="0" applyNumberFormat="1" applyFont="1" applyFill="1" applyAlignment="1">
      <alignment vertical="center"/>
    </xf>
    <xf numFmtId="0" fontId="18" fillId="0" borderId="0" xfId="0" applyNumberFormat="1" applyFont="1" applyFill="1" applyAlignment="1">
      <alignment vertical="center"/>
    </xf>
    <xf numFmtId="0" fontId="20"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alignment horizontal="center" vertical="center"/>
    </xf>
    <xf numFmtId="0" fontId="15" fillId="0" borderId="0" xfId="0" applyFont="1" applyFill="1"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0" fontId="1" fillId="0" borderId="0" xfId="0" applyFont="1" applyAlignment="1">
      <alignment horizontal="center" vertical="center"/>
    </xf>
    <xf numFmtId="0" fontId="0" fillId="0" borderId="0" xfId="0" applyFont="1" applyAlignment="1">
      <alignment vertical="center"/>
    </xf>
    <xf numFmtId="0" fontId="1" fillId="0" borderId="0" xfId="0" applyFont="1" applyAlignment="1">
      <alignment vertical="center"/>
    </xf>
    <xf numFmtId="0" fontId="0" fillId="0" borderId="0" xfId="0" applyFont="1" applyAlignment="1">
      <alignment horizontal="center" vertical="center"/>
    </xf>
    <xf numFmtId="164" fontId="0" fillId="0" borderId="0" xfId="0" applyNumberFormat="1" applyFont="1" applyAlignment="1">
      <alignment vertical="center"/>
    </xf>
    <xf numFmtId="0" fontId="5" fillId="0" borderId="0" xfId="0" applyFont="1" applyAlignment="1">
      <alignment vertical="center"/>
    </xf>
    <xf numFmtId="164" fontId="6" fillId="0" borderId="0" xfId="0" applyNumberFormat="1" applyFont="1" applyAlignment="1">
      <alignment vertical="center"/>
    </xf>
    <xf numFmtId="164" fontId="7" fillId="0" borderId="0" xfId="0" applyNumberFormat="1" applyFont="1" applyAlignment="1">
      <alignment vertical="center"/>
    </xf>
    <xf numFmtId="0" fontId="9" fillId="0" borderId="0" xfId="0" applyFont="1" applyAlignment="1">
      <alignment vertical="center"/>
    </xf>
    <xf numFmtId="0" fontId="3" fillId="0" borderId="0" xfId="0" applyFont="1" applyAlignment="1">
      <alignment vertical="center"/>
    </xf>
    <xf numFmtId="164" fontId="19" fillId="0" borderId="0" xfId="42" applyNumberFormat="1" applyFont="1" applyFill="1" applyAlignment="1">
      <alignment vertical="center"/>
    </xf>
    <xf numFmtId="164" fontId="2" fillId="0" borderId="0" xfId="0" applyNumberFormat="1" applyFont="1" applyFill="1" applyAlignment="1">
      <alignment vertical="center"/>
    </xf>
    <xf numFmtId="0" fontId="14" fillId="0" borderId="0" xfId="0" applyFont="1" applyFill="1" applyAlignment="1">
      <alignment vertical="center"/>
    </xf>
    <xf numFmtId="0" fontId="0" fillId="0" borderId="0" xfId="57" applyFont="1" applyFill="1" applyAlignment="1">
      <alignment vertical="center"/>
      <protection/>
    </xf>
    <xf numFmtId="0" fontId="7" fillId="0" borderId="0" xfId="57" applyFont="1" applyFill="1" applyAlignment="1">
      <alignment horizontal="center" vertical="center"/>
      <protection/>
    </xf>
    <xf numFmtId="168" fontId="7" fillId="0" borderId="0" xfId="42" applyNumberFormat="1" applyFont="1" applyFill="1" applyAlignment="1">
      <alignment vertical="center"/>
    </xf>
    <xf numFmtId="164" fontId="7" fillId="0" borderId="0" xfId="42" applyNumberFormat="1" applyFont="1" applyFill="1" applyAlignment="1">
      <alignment vertical="center"/>
    </xf>
    <xf numFmtId="0" fontId="7" fillId="0" borderId="0" xfId="57" applyFont="1" applyFill="1" applyAlignment="1">
      <alignment vertical="center"/>
      <protection/>
    </xf>
    <xf numFmtId="43" fontId="7" fillId="0" borderId="0" xfId="42" applyFont="1" applyFill="1" applyAlignment="1">
      <alignment vertical="center"/>
    </xf>
    <xf numFmtId="43" fontId="7" fillId="0" borderId="0" xfId="57" applyNumberFormat="1" applyFont="1" applyFill="1" applyAlignment="1">
      <alignment vertical="center"/>
      <protection/>
    </xf>
    <xf numFmtId="164" fontId="7" fillId="0" borderId="0" xfId="42" applyNumberFormat="1" applyFont="1" applyFill="1" applyAlignment="1">
      <alignment horizontal="center" vertical="center"/>
    </xf>
    <xf numFmtId="0" fontId="24" fillId="0" borderId="0" xfId="0" applyFont="1" applyFill="1" applyAlignment="1">
      <alignment vertical="center"/>
    </xf>
    <xf numFmtId="0" fontId="25" fillId="0" borderId="0" xfId="0" applyFont="1" applyFill="1" applyAlignment="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24" fillId="0" borderId="11"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24" fillId="0" borderId="14" xfId="0" applyFont="1" applyFill="1" applyBorder="1" applyAlignment="1">
      <alignment vertical="center"/>
    </xf>
    <xf numFmtId="0" fontId="24" fillId="0" borderId="15" xfId="0" applyFont="1" applyFill="1" applyBorder="1" applyAlignment="1">
      <alignment vertical="center"/>
    </xf>
    <xf numFmtId="0" fontId="24" fillId="0" borderId="16" xfId="0" applyFont="1" applyFill="1" applyBorder="1" applyAlignment="1">
      <alignment vertical="center"/>
    </xf>
    <xf numFmtId="0" fontId="24" fillId="0" borderId="0" xfId="57" applyFont="1" applyFill="1" applyAlignment="1">
      <alignment horizontal="center" vertical="center"/>
      <protection/>
    </xf>
    <xf numFmtId="0" fontId="24" fillId="0" borderId="0" xfId="57" applyFont="1" applyFill="1" applyAlignment="1">
      <alignment vertical="center"/>
      <protection/>
    </xf>
    <xf numFmtId="164" fontId="24" fillId="0" borderId="0" xfId="42" applyNumberFormat="1" applyFont="1" applyFill="1" applyAlignment="1">
      <alignment horizontal="center" vertical="center"/>
    </xf>
    <xf numFmtId="43" fontId="24" fillId="0" borderId="0" xfId="42" applyFont="1" applyFill="1" applyAlignment="1">
      <alignment vertical="center"/>
    </xf>
    <xf numFmtId="0" fontId="23" fillId="0" borderId="0" xfId="57" applyFont="1" applyFill="1" applyAlignment="1">
      <alignment vertical="center"/>
      <protection/>
    </xf>
    <xf numFmtId="43" fontId="23" fillId="0" borderId="0" xfId="42" applyFont="1" applyFill="1" applyAlignment="1">
      <alignment vertical="center"/>
    </xf>
    <xf numFmtId="164" fontId="24" fillId="0" borderId="0" xfId="42" applyNumberFormat="1" applyFont="1" applyFill="1" applyAlignment="1">
      <alignment vertical="center"/>
    </xf>
    <xf numFmtId="166" fontId="24" fillId="0" borderId="0" xfId="42" applyNumberFormat="1" applyFont="1" applyFill="1" applyAlignment="1">
      <alignment vertical="center"/>
    </xf>
    <xf numFmtId="0" fontId="24" fillId="0" borderId="0" xfId="57" applyFont="1" applyFill="1" applyBorder="1" applyAlignment="1">
      <alignment vertical="center"/>
      <protection/>
    </xf>
    <xf numFmtId="0" fontId="9" fillId="0" borderId="0" xfId="0" applyFont="1" applyFill="1" applyAlignment="1">
      <alignment vertical="center" wrapText="1"/>
    </xf>
    <xf numFmtId="0" fontId="1" fillId="0" borderId="0" xfId="0" applyFont="1" applyFill="1" applyAlignment="1">
      <alignment vertical="center" wrapText="1"/>
    </xf>
    <xf numFmtId="0" fontId="10" fillId="0" borderId="0" xfId="0" applyFont="1" applyFill="1" applyAlignment="1">
      <alignment horizontal="center" vertical="center"/>
    </xf>
    <xf numFmtId="167" fontId="1" fillId="0" borderId="0" xfId="0" applyNumberFormat="1" applyFont="1" applyFill="1" applyAlignment="1">
      <alignment horizontal="left" vertical="center"/>
    </xf>
    <xf numFmtId="164" fontId="13" fillId="0" borderId="0" xfId="0" applyNumberFormat="1" applyFont="1" applyAlignment="1">
      <alignment vertical="center"/>
    </xf>
    <xf numFmtId="0" fontId="1" fillId="0" borderId="0" xfId="0" applyNumberFormat="1" applyFont="1" applyAlignment="1">
      <alignment vertical="center"/>
    </xf>
    <xf numFmtId="0" fontId="9" fillId="0" borderId="0" xfId="0" applyNumberFormat="1" applyFont="1" applyAlignment="1">
      <alignment vertical="center"/>
    </xf>
    <xf numFmtId="164" fontId="4" fillId="0" borderId="0" xfId="42" applyNumberFormat="1" applyFont="1" applyFill="1" applyAlignment="1">
      <alignment vertical="center"/>
    </xf>
    <xf numFmtId="167" fontId="1" fillId="0" borderId="0" xfId="64" applyNumberFormat="1" applyFont="1" applyFill="1" applyAlignment="1">
      <alignment vertical="center"/>
    </xf>
    <xf numFmtId="164" fontId="1" fillId="0" borderId="0" xfId="64" applyNumberFormat="1" applyFont="1" applyFill="1" applyAlignment="1">
      <alignment vertical="center"/>
    </xf>
    <xf numFmtId="0" fontId="10" fillId="24" borderId="0" xfId="0" applyFont="1" applyFill="1" applyAlignment="1">
      <alignment vertical="center"/>
    </xf>
    <xf numFmtId="0" fontId="5" fillId="0" borderId="0" xfId="0" applyFont="1" applyFill="1" applyAlignment="1">
      <alignment horizontal="left" vertical="center" wrapText="1"/>
    </xf>
    <xf numFmtId="0" fontId="2" fillId="24" borderId="0" xfId="0" applyFont="1" applyFill="1" applyAlignment="1">
      <alignment vertical="center"/>
    </xf>
    <xf numFmtId="0" fontId="9" fillId="24" borderId="0" xfId="0" applyFont="1" applyFill="1" applyAlignment="1">
      <alignment vertical="center"/>
    </xf>
    <xf numFmtId="0" fontId="1"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xf>
    <xf numFmtId="0" fontId="25" fillId="0" borderId="10" xfId="0" applyFont="1" applyFill="1" applyBorder="1" applyAlignment="1">
      <alignment vertical="center"/>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xf>
    <xf numFmtId="0" fontId="3" fillId="0" borderId="10" xfId="0" applyNumberFormat="1" applyFont="1" applyFill="1" applyBorder="1" applyAlignment="1">
      <alignment vertical="center"/>
    </xf>
    <xf numFmtId="0" fontId="25" fillId="0" borderId="10" xfId="0" applyNumberFormat="1" applyFont="1" applyFill="1" applyBorder="1" applyAlignment="1">
      <alignment horizontal="center" vertical="center"/>
    </xf>
    <xf numFmtId="0" fontId="25" fillId="0" borderId="10" xfId="0" applyNumberFormat="1" applyFont="1" applyFill="1" applyBorder="1" applyAlignment="1">
      <alignment vertical="center"/>
    </xf>
    <xf numFmtId="0" fontId="3" fillId="0" borderId="10" xfId="0" applyNumberFormat="1" applyFont="1" applyFill="1" applyBorder="1" applyAlignment="1">
      <alignment vertical="center" wrapText="1"/>
    </xf>
    <xf numFmtId="0" fontId="25" fillId="0" borderId="10" xfId="0" applyFont="1" applyFill="1" applyBorder="1" applyAlignment="1">
      <alignment horizontal="center" vertical="center"/>
    </xf>
    <xf numFmtId="0" fontId="25" fillId="0" borderId="10" xfId="0" applyNumberFormat="1" applyFont="1" applyFill="1" applyBorder="1" applyAlignment="1">
      <alignment vertical="center" wrapText="1"/>
    </xf>
    <xf numFmtId="0" fontId="25" fillId="0" borderId="0" xfId="0" applyFont="1" applyFill="1" applyBorder="1" applyAlignment="1">
      <alignment vertical="center"/>
    </xf>
    <xf numFmtId="164" fontId="0" fillId="0" borderId="0" xfId="42" applyNumberFormat="1" applyFont="1" applyFill="1" applyAlignment="1">
      <alignment vertical="center"/>
    </xf>
    <xf numFmtId="0" fontId="0" fillId="0" borderId="0" xfId="0" applyFont="1" applyFill="1" applyAlignment="1">
      <alignment vertical="center"/>
    </xf>
    <xf numFmtId="167" fontId="3" fillId="0" borderId="10" xfId="42" applyNumberFormat="1" applyFont="1" applyFill="1" applyBorder="1" applyAlignment="1">
      <alignment horizontal="right" vertical="center"/>
    </xf>
    <xf numFmtId="167" fontId="25" fillId="0" borderId="10" xfId="42" applyNumberFormat="1" applyFont="1" applyFill="1" applyBorder="1" applyAlignment="1">
      <alignment horizontal="right" vertical="center"/>
    </xf>
    <xf numFmtId="164" fontId="25" fillId="0" borderId="10" xfId="42" applyNumberFormat="1" applyFont="1" applyFill="1" applyBorder="1" applyAlignment="1">
      <alignment horizontal="right" vertical="center"/>
    </xf>
    <xf numFmtId="167" fontId="44" fillId="0" borderId="10" xfId="42" applyNumberFormat="1" applyFont="1" applyFill="1" applyBorder="1" applyAlignment="1">
      <alignment horizontal="right" vertical="center"/>
    </xf>
    <xf numFmtId="167" fontId="45" fillId="0" borderId="10" xfId="42" applyNumberFormat="1" applyFont="1" applyFill="1" applyBorder="1" applyAlignment="1">
      <alignment horizontal="right" vertical="center"/>
    </xf>
    <xf numFmtId="164" fontId="3" fillId="0" borderId="10" xfId="42" applyNumberFormat="1" applyFont="1" applyFill="1" applyBorder="1" applyAlignment="1">
      <alignment horizontal="right" vertical="center"/>
    </xf>
    <xf numFmtId="164" fontId="44" fillId="0" borderId="10" xfId="42" applyNumberFormat="1" applyFont="1" applyFill="1" applyBorder="1" applyAlignment="1">
      <alignment horizontal="right" vertical="center"/>
    </xf>
    <xf numFmtId="164" fontId="5" fillId="0" borderId="0" xfId="0" applyNumberFormat="1" applyFont="1" applyFill="1" applyBorder="1" applyAlignment="1">
      <alignment vertical="center"/>
    </xf>
    <xf numFmtId="164" fontId="0" fillId="0" borderId="0" xfId="0" applyNumberFormat="1" applyFont="1" applyFill="1" applyAlignment="1">
      <alignment vertical="center"/>
    </xf>
    <xf numFmtId="0" fontId="25" fillId="0" borderId="10" xfId="0" applyNumberFormat="1" applyFont="1" applyFill="1" applyBorder="1" applyAlignment="1">
      <alignment horizontal="left" vertical="center" wrapText="1"/>
    </xf>
    <xf numFmtId="0" fontId="3" fillId="0" borderId="10" xfId="0" applyFont="1" applyFill="1" applyBorder="1" applyAlignment="1">
      <alignment horizontal="center" vertical="center"/>
    </xf>
    <xf numFmtId="0" fontId="25" fillId="0" borderId="10" xfId="0" applyFont="1" applyFill="1" applyBorder="1" applyAlignment="1">
      <alignment vertical="center" wrapText="1"/>
    </xf>
    <xf numFmtId="0" fontId="3" fillId="0" borderId="10" xfId="0" applyFont="1" applyFill="1" applyBorder="1" applyAlignment="1">
      <alignment horizontal="left" vertical="center"/>
    </xf>
    <xf numFmtId="0" fontId="25" fillId="0" borderId="10" xfId="0" applyFont="1" applyFill="1" applyBorder="1" applyAlignment="1" quotePrefix="1">
      <alignment horizontal="center" vertical="center"/>
    </xf>
    <xf numFmtId="0" fontId="3" fillId="0" borderId="10" xfId="0" applyFont="1" applyFill="1" applyBorder="1" applyAlignment="1">
      <alignment vertical="center" wrapText="1"/>
    </xf>
    <xf numFmtId="0" fontId="25" fillId="0" borderId="10" xfId="0" applyNumberFormat="1" applyFont="1" applyFill="1" applyBorder="1" applyAlignment="1">
      <alignment horizontal="left" vertical="center"/>
    </xf>
    <xf numFmtId="0" fontId="25" fillId="0" borderId="10" xfId="0" applyFont="1" applyFill="1" applyBorder="1" applyAlignment="1">
      <alignment horizontal="left" vertical="center"/>
    </xf>
    <xf numFmtId="0" fontId="25" fillId="0" borderId="10" xfId="0" applyFont="1" applyFill="1" applyBorder="1" applyAlignment="1">
      <alignment horizontal="center" vertical="center" wrapText="1"/>
    </xf>
    <xf numFmtId="0" fontId="9" fillId="0" borderId="0" xfId="0" applyFont="1" applyFill="1" applyAlignment="1">
      <alignment vertical="center"/>
    </xf>
    <xf numFmtId="0" fontId="10" fillId="0" borderId="0" xfId="0" applyFont="1" applyFill="1" applyAlignment="1">
      <alignment vertical="center"/>
    </xf>
    <xf numFmtId="0" fontId="2" fillId="0" borderId="0" xfId="0" applyFont="1" applyFill="1" applyAlignment="1">
      <alignment vertical="center"/>
    </xf>
    <xf numFmtId="0" fontId="0" fillId="0" borderId="10" xfId="0" applyNumberFormat="1" applyFont="1" applyFill="1" applyBorder="1" applyAlignment="1">
      <alignment horizontal="left" vertical="center"/>
    </xf>
    <xf numFmtId="0" fontId="0" fillId="0" borderId="10" xfId="0" applyNumberFormat="1" applyFont="1" applyFill="1" applyBorder="1" applyAlignment="1">
      <alignment horizontal="left" vertical="center" wrapText="1"/>
    </xf>
    <xf numFmtId="0" fontId="0" fillId="0" borderId="10" xfId="0" applyFont="1" applyFill="1" applyBorder="1" applyAlignment="1">
      <alignment vertical="center" wrapText="1"/>
    </xf>
    <xf numFmtId="164" fontId="1" fillId="0" borderId="10" xfId="42" applyNumberFormat="1" applyFont="1" applyFill="1" applyBorder="1" applyAlignment="1">
      <alignment horizontal="center" vertical="center"/>
    </xf>
    <xf numFmtId="0" fontId="0" fillId="0" borderId="10" xfId="0" applyFont="1" applyFill="1" applyBorder="1" applyAlignment="1">
      <alignment horizontal="center" vertical="center" wrapText="1"/>
    </xf>
    <xf numFmtId="164" fontId="0" fillId="0" borderId="10" xfId="42" applyNumberFormat="1" applyFont="1" applyFill="1" applyBorder="1" applyAlignment="1">
      <alignment horizontal="center" vertical="center" wrapText="1"/>
    </xf>
    <xf numFmtId="164" fontId="1" fillId="0" borderId="10" xfId="42" applyNumberFormat="1" applyFont="1" applyFill="1" applyBorder="1" applyAlignment="1">
      <alignment horizontal="right" vertical="center"/>
    </xf>
    <xf numFmtId="0" fontId="0" fillId="0" borderId="10" xfId="0" applyFont="1" applyFill="1" applyBorder="1" applyAlignment="1">
      <alignment horizontal="center" vertical="center"/>
    </xf>
    <xf numFmtId="164" fontId="0" fillId="0" borderId="10" xfId="42" applyNumberFormat="1" applyFont="1" applyFill="1" applyBorder="1" applyAlignment="1">
      <alignment horizontal="right" vertical="center"/>
    </xf>
    <xf numFmtId="164" fontId="0" fillId="0" borderId="10" xfId="42" applyNumberFormat="1" applyFont="1" applyFill="1" applyBorder="1" applyAlignment="1">
      <alignment vertical="center"/>
    </xf>
    <xf numFmtId="0" fontId="1" fillId="0" borderId="10" xfId="0" applyFont="1" applyFill="1" applyBorder="1" applyAlignment="1">
      <alignment horizontal="left" vertical="center"/>
    </xf>
    <xf numFmtId="164" fontId="13" fillId="0" borderId="10" xfId="42" applyNumberFormat="1" applyFont="1" applyFill="1" applyBorder="1" applyAlignment="1">
      <alignment horizontal="right" vertical="center"/>
    </xf>
    <xf numFmtId="164" fontId="0" fillId="0" borderId="10" xfId="42" applyNumberFormat="1" applyFont="1" applyFill="1" applyBorder="1" applyAlignment="1">
      <alignment horizontal="right" vertical="center"/>
    </xf>
    <xf numFmtId="0" fontId="1" fillId="0" borderId="10" xfId="0" applyFont="1" applyFill="1" applyBorder="1" applyAlignment="1">
      <alignment vertical="center" wrapText="1"/>
    </xf>
    <xf numFmtId="0" fontId="0" fillId="0" borderId="10" xfId="0" applyFont="1" applyFill="1" applyBorder="1" applyAlignment="1" quotePrefix="1">
      <alignment horizontal="center" vertical="center"/>
    </xf>
    <xf numFmtId="0" fontId="0" fillId="0" borderId="10" xfId="0" applyFont="1" applyFill="1" applyBorder="1" applyAlignment="1">
      <alignment vertical="center"/>
    </xf>
    <xf numFmtId="43" fontId="0" fillId="0" borderId="10" xfId="42" applyFont="1" applyFill="1" applyBorder="1" applyAlignment="1">
      <alignment horizontal="right" vertical="center"/>
    </xf>
    <xf numFmtId="164" fontId="0" fillId="0" borderId="10" xfId="42" applyNumberFormat="1" applyFont="1" applyFill="1" applyBorder="1" applyAlignment="1">
      <alignment horizontal="center" vertical="center"/>
    </xf>
    <xf numFmtId="164" fontId="1" fillId="0" borderId="10" xfId="0"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1" fillId="0" borderId="10" xfId="0" applyNumberFormat="1" applyFont="1" applyFill="1" applyBorder="1" applyAlignment="1">
      <alignment vertical="center"/>
    </xf>
    <xf numFmtId="0" fontId="0" fillId="0" borderId="10" xfId="0" applyNumberFormat="1" applyFont="1" applyFill="1" applyBorder="1" applyAlignment="1">
      <alignment vertical="center"/>
    </xf>
    <xf numFmtId="164" fontId="0" fillId="0" borderId="10" xfId="42" applyNumberFormat="1" applyFont="1" applyFill="1" applyBorder="1" applyAlignment="1">
      <alignment horizontal="right" vertical="center" wrapText="1"/>
    </xf>
    <xf numFmtId="3" fontId="0" fillId="0" borderId="10" xfId="0" applyNumberFormat="1" applyFont="1" applyFill="1" applyBorder="1" applyAlignment="1" quotePrefix="1">
      <alignment horizontal="center" vertical="center"/>
    </xf>
    <xf numFmtId="0" fontId="0" fillId="0" borderId="10" xfId="0" applyNumberFormat="1" applyFont="1" applyFill="1" applyBorder="1" applyAlignment="1">
      <alignment vertical="center" wrapText="1"/>
    </xf>
    <xf numFmtId="0" fontId="0" fillId="0" borderId="10" xfId="0" applyNumberFormat="1" applyFont="1" applyFill="1" applyBorder="1" applyAlignment="1">
      <alignment horizontal="center" vertical="center"/>
    </xf>
    <xf numFmtId="167" fontId="0" fillId="0" borderId="10" xfId="42" applyNumberFormat="1" applyFont="1" applyFill="1" applyBorder="1" applyAlignment="1">
      <alignment horizontal="right" vertical="center"/>
    </xf>
    <xf numFmtId="0" fontId="0" fillId="0" borderId="10" xfId="0" applyFont="1" applyFill="1" applyBorder="1" applyAlignment="1" quotePrefix="1">
      <alignment horizontal="center" vertical="center"/>
    </xf>
    <xf numFmtId="0" fontId="0" fillId="0" borderId="10" xfId="0" applyFont="1" applyFill="1" applyBorder="1" applyAlignment="1">
      <alignment vertical="center" wrapText="1"/>
    </xf>
    <xf numFmtId="43" fontId="0" fillId="0" borderId="10" xfId="42" applyFont="1" applyFill="1" applyBorder="1" applyAlignment="1">
      <alignment horizontal="right" vertical="center"/>
    </xf>
    <xf numFmtId="0" fontId="0" fillId="0" borderId="10" xfId="0" applyNumberFormat="1" applyFont="1" applyFill="1" applyBorder="1" applyAlignment="1">
      <alignment vertical="center" wrapText="1"/>
    </xf>
    <xf numFmtId="3" fontId="0" fillId="0" borderId="10" xfId="0" applyNumberFormat="1" applyFont="1" applyFill="1" applyBorder="1" applyAlignment="1">
      <alignment horizontal="center" vertical="center"/>
    </xf>
    <xf numFmtId="3" fontId="0" fillId="0" borderId="10" xfId="0" applyNumberFormat="1" applyFont="1" applyFill="1" applyBorder="1" applyAlignment="1">
      <alignment horizontal="right" vertical="center"/>
    </xf>
    <xf numFmtId="3" fontId="0" fillId="0" borderId="10" xfId="0" applyNumberFormat="1" applyFont="1" applyFill="1" applyBorder="1" applyAlignment="1" quotePrefix="1">
      <alignment horizontal="center" vertical="center"/>
    </xf>
    <xf numFmtId="0" fontId="0" fillId="0" borderId="10" xfId="0" applyFont="1" applyFill="1" applyBorder="1" applyAlignment="1">
      <alignment horizontal="left" vertical="center"/>
    </xf>
    <xf numFmtId="0" fontId="0" fillId="0" borderId="10" xfId="0" applyNumberFormat="1" applyFont="1" applyFill="1" applyBorder="1" applyAlignment="1">
      <alignment vertical="center"/>
    </xf>
    <xf numFmtId="164" fontId="0" fillId="0" borderId="10" xfId="42" applyNumberFormat="1" applyFont="1" applyFill="1" applyBorder="1" applyAlignment="1">
      <alignment horizontal="right" vertical="center" wrapText="1"/>
    </xf>
    <xf numFmtId="3" fontId="0" fillId="0" borderId="10" xfId="0" applyNumberFormat="1" applyFont="1" applyFill="1" applyBorder="1" applyAlignment="1">
      <alignment horizontal="center" vertical="center" wrapText="1"/>
    </xf>
    <xf numFmtId="3" fontId="0" fillId="0" borderId="10" xfId="0" applyNumberFormat="1" applyFont="1" applyFill="1" applyBorder="1" applyAlignment="1" quotePrefix="1">
      <alignment horizontal="center" vertical="center" wrapText="1"/>
    </xf>
    <xf numFmtId="0" fontId="2" fillId="0" borderId="0" xfId="0" applyFont="1" applyFill="1" applyAlignment="1">
      <alignment vertical="center" wrapText="1"/>
    </xf>
    <xf numFmtId="0" fontId="2" fillId="24" borderId="0" xfId="0" applyFont="1" applyFill="1" applyAlignment="1">
      <alignment vertical="center" wrapText="1"/>
    </xf>
    <xf numFmtId="3" fontId="0" fillId="0" borderId="10" xfId="0" applyNumberFormat="1" applyFont="1" applyFill="1" applyBorder="1" applyAlignment="1">
      <alignment horizontal="right" vertical="center"/>
    </xf>
    <xf numFmtId="0" fontId="0" fillId="0" borderId="10" xfId="0" applyNumberFormat="1" applyFont="1" applyFill="1" applyBorder="1" applyAlignment="1">
      <alignment horizontal="left" vertical="center"/>
    </xf>
    <xf numFmtId="164" fontId="1" fillId="0" borderId="10" xfId="42" applyNumberFormat="1" applyFont="1" applyFill="1" applyBorder="1" applyAlignment="1" quotePrefix="1">
      <alignment horizontal="right" vertical="center"/>
    </xf>
    <xf numFmtId="0" fontId="1" fillId="0" borderId="10" xfId="0" applyFont="1" applyFill="1" applyBorder="1" applyAlignment="1">
      <alignment horizontal="center" vertical="center" wrapText="1"/>
    </xf>
    <xf numFmtId="164" fontId="1" fillId="0" borderId="10" xfId="42" applyNumberFormat="1" applyFont="1" applyFill="1" applyBorder="1" applyAlignment="1" quotePrefix="1">
      <alignment horizontal="center" vertical="center"/>
    </xf>
    <xf numFmtId="0" fontId="13" fillId="0" borderId="17" xfId="0" applyNumberFormat="1" applyFont="1" applyFill="1" applyBorder="1" applyAlignment="1">
      <alignment horizontal="right" vertical="center"/>
    </xf>
    <xf numFmtId="164" fontId="13" fillId="0" borderId="17" xfId="42" applyNumberFormat="1" applyFont="1" applyFill="1" applyBorder="1" applyAlignment="1">
      <alignment horizontal="right" vertical="center"/>
    </xf>
    <xf numFmtId="164" fontId="3" fillId="0" borderId="10" xfId="42"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13" fillId="0" borderId="0" xfId="0" applyFont="1" applyFill="1" applyBorder="1" applyAlignment="1">
      <alignment horizontal="center" vertical="center"/>
    </xf>
    <xf numFmtId="164" fontId="1" fillId="0" borderId="10" xfId="42" applyNumberFormat="1" applyFont="1" applyFill="1" applyBorder="1" applyAlignment="1">
      <alignment horizontal="center" vertical="center" wrapText="1"/>
    </xf>
    <xf numFmtId="164" fontId="1" fillId="0" borderId="10" xfId="42" applyNumberFormat="1" applyFont="1" applyFill="1" applyBorder="1" applyAlignment="1">
      <alignment horizontal="center" vertical="center"/>
    </xf>
    <xf numFmtId="0" fontId="15" fillId="0" borderId="0" xfId="0" applyFont="1" applyFill="1" applyBorder="1" applyAlignment="1">
      <alignment horizontal="center" vertical="center"/>
    </xf>
    <xf numFmtId="164" fontId="0" fillId="0" borderId="10" xfId="42" applyNumberFormat="1" applyFont="1" applyFill="1" applyBorder="1" applyAlignment="1" quotePrefix="1">
      <alignment horizontal="right" vertical="center"/>
    </xf>
    <xf numFmtId="164" fontId="0" fillId="0" borderId="10" xfId="42" applyNumberFormat="1" applyFont="1" applyFill="1" applyBorder="1" applyAlignment="1" quotePrefix="1">
      <alignment horizontal="center" vertical="center"/>
    </xf>
    <xf numFmtId="164" fontId="0" fillId="0" borderId="10" xfId="42" applyNumberFormat="1" applyFont="1" applyFill="1" applyBorder="1" applyAlignment="1" quotePrefix="1">
      <alignment horizontal="right" vertical="center"/>
    </xf>
    <xf numFmtId="0" fontId="19" fillId="0" borderId="10" xfId="0" applyNumberFormat="1" applyFont="1" applyBorder="1" applyAlignment="1">
      <alignment horizontal="center" vertical="center" wrapText="1"/>
    </xf>
    <xf numFmtId="0" fontId="20" fillId="0" borderId="10" xfId="0" applyFont="1" applyBorder="1" applyAlignment="1">
      <alignment horizontal="center" vertical="center"/>
    </xf>
    <xf numFmtId="0" fontId="19" fillId="0" borderId="10" xfId="0" applyFont="1" applyBorder="1" applyAlignment="1">
      <alignment horizontal="left" vertical="center"/>
    </xf>
    <xf numFmtId="0" fontId="20" fillId="0" borderId="10" xfId="0" applyNumberFormat="1" applyFont="1" applyBorder="1" applyAlignment="1">
      <alignment horizontal="left" vertical="center"/>
    </xf>
    <xf numFmtId="164" fontId="20" fillId="0" borderId="10" xfId="42" applyNumberFormat="1" applyFont="1" applyBorder="1" applyAlignment="1">
      <alignment horizontal="right" vertical="center"/>
    </xf>
    <xf numFmtId="0" fontId="19"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xf>
    <xf numFmtId="164" fontId="19" fillId="0" borderId="10" xfId="42" applyNumberFormat="1" applyFont="1" applyFill="1" applyBorder="1" applyAlignment="1">
      <alignment vertical="center"/>
    </xf>
    <xf numFmtId="0" fontId="19" fillId="0" borderId="10" xfId="0" applyFont="1" applyFill="1" applyBorder="1" applyAlignment="1">
      <alignment vertical="center"/>
    </xf>
    <xf numFmtId="0" fontId="20" fillId="0" borderId="10" xfId="0" applyFont="1" applyFill="1" applyBorder="1" applyAlignment="1">
      <alignment vertical="center"/>
    </xf>
    <xf numFmtId="164" fontId="20" fillId="0" borderId="10" xfId="42" applyNumberFormat="1" applyFont="1" applyFill="1" applyBorder="1" applyAlignment="1">
      <alignment vertical="center"/>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lignment vertical="center"/>
    </xf>
    <xf numFmtId="0" fontId="20" fillId="0" borderId="10" xfId="0" applyFont="1" applyFill="1" applyBorder="1" applyAlignment="1">
      <alignment horizontal="center" vertical="center"/>
    </xf>
    <xf numFmtId="0" fontId="20" fillId="0" borderId="10" xfId="0" applyNumberFormat="1" applyFont="1" applyFill="1" applyBorder="1" applyAlignment="1">
      <alignment vertical="center"/>
    </xf>
    <xf numFmtId="164" fontId="15" fillId="0" borderId="10" xfId="42" applyNumberFormat="1" applyFont="1" applyFill="1" applyBorder="1" applyAlignment="1">
      <alignment vertical="center"/>
    </xf>
    <xf numFmtId="0" fontId="20" fillId="0" borderId="10" xfId="0" applyFont="1" applyFill="1" applyBorder="1" applyAlignment="1">
      <alignment horizontal="center" vertical="center" wrapText="1"/>
    </xf>
    <xf numFmtId="0" fontId="20" fillId="0" borderId="10" xfId="0" applyNumberFormat="1" applyFont="1" applyFill="1" applyBorder="1" applyAlignment="1">
      <alignment vertical="center" wrapText="1"/>
    </xf>
    <xf numFmtId="0" fontId="20" fillId="0" borderId="10"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wrapText="1"/>
    </xf>
    <xf numFmtId="0" fontId="20" fillId="0" borderId="10" xfId="0" applyNumberFormat="1" applyFont="1" applyFill="1" applyBorder="1" applyAlignment="1">
      <alignment horizontal="left" vertical="center" wrapText="1"/>
    </xf>
    <xf numFmtId="164" fontId="0" fillId="0" borderId="0" xfId="0" applyNumberFormat="1" applyFont="1" applyFill="1" applyAlignment="1">
      <alignment horizontal="center" vertical="center"/>
    </xf>
    <xf numFmtId="164" fontId="19" fillId="0" borderId="10" xfId="42" applyNumberFormat="1" applyFont="1" applyFill="1" applyBorder="1" applyAlignment="1">
      <alignment horizontal="right" vertical="center" wrapText="1"/>
    </xf>
    <xf numFmtId="164" fontId="20" fillId="0" borderId="10" xfId="42" applyNumberFormat="1" applyFont="1" applyFill="1" applyBorder="1" applyAlignment="1">
      <alignment horizontal="right" vertical="center" wrapText="1"/>
    </xf>
    <xf numFmtId="0" fontId="19" fillId="0" borderId="10" xfId="0" applyFont="1" applyFill="1" applyBorder="1" applyAlignment="1">
      <alignment horizontal="center" vertical="center" wrapText="1"/>
    </xf>
    <xf numFmtId="0" fontId="19" fillId="0" borderId="10" xfId="0" applyNumberFormat="1" applyFont="1" applyFill="1" applyBorder="1" applyAlignment="1">
      <alignment horizontal="left" vertical="center" wrapText="1"/>
    </xf>
    <xf numFmtId="164" fontId="7" fillId="0" borderId="18" xfId="42" applyNumberFormat="1" applyFont="1" applyFill="1" applyBorder="1" applyAlignment="1">
      <alignment vertical="center"/>
    </xf>
    <xf numFmtId="164" fontId="7" fillId="0" borderId="0" xfId="42" applyNumberFormat="1" applyFont="1" applyFill="1" applyBorder="1" applyAlignment="1">
      <alignment vertical="center"/>
    </xf>
    <xf numFmtId="164" fontId="9" fillId="0" borderId="10" xfId="42" applyNumberFormat="1" applyFont="1" applyFill="1" applyBorder="1" applyAlignment="1">
      <alignment horizontal="center" vertical="center" wrapText="1"/>
    </xf>
    <xf numFmtId="43" fontId="9" fillId="0" borderId="10" xfId="42" applyFont="1" applyFill="1" applyBorder="1" applyAlignment="1">
      <alignment horizontal="center" vertical="center"/>
    </xf>
    <xf numFmtId="0" fontId="9" fillId="0" borderId="10" xfId="0" applyFont="1" applyFill="1" applyBorder="1" applyAlignment="1">
      <alignment horizontal="center" vertical="center" wrapText="1"/>
    </xf>
    <xf numFmtId="169" fontId="9" fillId="0" borderId="10" xfId="0" applyNumberFormat="1" applyFont="1" applyFill="1" applyBorder="1" applyAlignment="1">
      <alignment horizontal="center" vertical="center" wrapText="1"/>
    </xf>
    <xf numFmtId="166" fontId="9" fillId="0" borderId="10" xfId="42" applyNumberFormat="1" applyFont="1" applyFill="1" applyBorder="1" applyAlignment="1">
      <alignment horizontal="center" vertical="center"/>
    </xf>
    <xf numFmtId="43" fontId="9" fillId="0" borderId="10" xfId="42" applyFont="1" applyFill="1" applyBorder="1" applyAlignment="1">
      <alignment horizontal="right" vertical="center" wrapText="1"/>
    </xf>
    <xf numFmtId="164" fontId="9" fillId="0" borderId="10" xfId="42" applyNumberFormat="1" applyFont="1" applyFill="1" applyBorder="1" applyAlignment="1">
      <alignment horizontal="right" vertical="center" wrapText="1"/>
    </xf>
    <xf numFmtId="166" fontId="9" fillId="0" borderId="10" xfId="42" applyNumberFormat="1" applyFont="1" applyFill="1" applyBorder="1" applyAlignment="1">
      <alignment horizontal="right" vertical="center" wrapText="1"/>
    </xf>
    <xf numFmtId="0" fontId="9" fillId="0" borderId="10" xfId="0" applyFont="1" applyFill="1" applyBorder="1" applyAlignment="1">
      <alignment vertical="center" wrapText="1"/>
    </xf>
    <xf numFmtId="43" fontId="9" fillId="0" borderId="10" xfId="42" applyFont="1" applyFill="1" applyBorder="1" applyAlignment="1">
      <alignment horizontal="right" vertical="center"/>
    </xf>
    <xf numFmtId="164" fontId="9" fillId="0" borderId="10" xfId="42" applyNumberFormat="1" applyFont="1" applyFill="1" applyBorder="1" applyAlignment="1">
      <alignment horizontal="right" vertical="center"/>
    </xf>
    <xf numFmtId="166" fontId="9" fillId="0" borderId="10" xfId="42" applyNumberFormat="1" applyFont="1" applyFill="1" applyBorder="1" applyAlignment="1">
      <alignment horizontal="right" vertical="center"/>
    </xf>
    <xf numFmtId="0" fontId="10" fillId="0" borderId="10" xfId="0" applyFont="1" applyFill="1" applyBorder="1" applyAlignment="1">
      <alignment horizontal="center" vertical="center"/>
    </xf>
    <xf numFmtId="4" fontId="10" fillId="0" borderId="10" xfId="0" applyNumberFormat="1" applyFont="1" applyFill="1" applyBorder="1" applyAlignment="1">
      <alignment horizontal="left" vertical="center"/>
    </xf>
    <xf numFmtId="43" fontId="10" fillId="0" borderId="10" xfId="42" applyFont="1" applyFill="1" applyBorder="1" applyAlignment="1">
      <alignment horizontal="right" vertical="center"/>
    </xf>
    <xf numFmtId="165" fontId="10" fillId="0" borderId="10" xfId="42" applyNumberFormat="1" applyFont="1" applyFill="1" applyBorder="1" applyAlignment="1" quotePrefix="1">
      <alignment horizontal="right" vertical="center"/>
    </xf>
    <xf numFmtId="0" fontId="13" fillId="0" borderId="0" xfId="0" applyNumberFormat="1" applyFont="1" applyFill="1" applyAlignment="1">
      <alignment horizontal="right" vertical="center"/>
    </xf>
    <xf numFmtId="0" fontId="13" fillId="0" borderId="0" xfId="0" applyFont="1" applyFill="1" applyAlignment="1">
      <alignment horizontal="center" vertical="center"/>
    </xf>
    <xf numFmtId="0" fontId="15" fillId="0" borderId="0" xfId="0" applyFont="1" applyFill="1" applyAlignment="1">
      <alignment horizontal="center" vertical="center"/>
    </xf>
    <xf numFmtId="164" fontId="10" fillId="0" borderId="10" xfId="42" applyNumberFormat="1" applyFont="1" applyFill="1" applyBorder="1" applyAlignment="1">
      <alignment horizontal="right" vertical="center"/>
    </xf>
    <xf numFmtId="43" fontId="10" fillId="0" borderId="10" xfId="42" applyFont="1" applyFill="1" applyBorder="1" applyAlignment="1" quotePrefix="1">
      <alignment horizontal="right" vertical="center"/>
    </xf>
    <xf numFmtId="165" fontId="10" fillId="0" borderId="10" xfId="44" applyNumberFormat="1" applyFont="1" applyFill="1" applyBorder="1" applyAlignment="1">
      <alignment horizontal="right" vertical="center"/>
    </xf>
    <xf numFmtId="165" fontId="10" fillId="0" borderId="10" xfId="42" applyNumberFormat="1" applyFont="1" applyFill="1" applyBorder="1" applyAlignment="1">
      <alignment horizontal="right" vertical="center"/>
    </xf>
    <xf numFmtId="165" fontId="9" fillId="0" borderId="10" xfId="42" applyNumberFormat="1" applyFont="1" applyFill="1" applyBorder="1" applyAlignment="1">
      <alignment horizontal="right" vertical="center"/>
    </xf>
    <xf numFmtId="0" fontId="10" fillId="0" borderId="10" xfId="0" applyNumberFormat="1" applyFont="1" applyFill="1" applyBorder="1" applyAlignment="1">
      <alignment horizontal="center" vertical="center"/>
    </xf>
    <xf numFmtId="169" fontId="10" fillId="0" borderId="10" xfId="0" applyNumberFormat="1" applyFont="1" applyFill="1" applyBorder="1" applyAlignment="1">
      <alignment horizontal="left" vertical="center" wrapText="1"/>
    </xf>
    <xf numFmtId="43" fontId="10" fillId="0" borderId="10" xfId="42" applyFont="1" applyFill="1" applyBorder="1" applyAlignment="1">
      <alignment horizontal="right" vertical="center" wrapText="1"/>
    </xf>
    <xf numFmtId="165" fontId="10" fillId="0" borderId="10" xfId="42" applyNumberFormat="1" applyFont="1" applyFill="1" applyBorder="1" applyAlignment="1">
      <alignment horizontal="right" vertical="center" wrapText="1"/>
    </xf>
    <xf numFmtId="43" fontId="10" fillId="0" borderId="10" xfId="42" applyNumberFormat="1" applyFont="1" applyFill="1" applyBorder="1" applyAlignment="1">
      <alignment horizontal="right" vertical="center" wrapText="1"/>
    </xf>
    <xf numFmtId="0" fontId="10" fillId="0" borderId="10" xfId="0" applyNumberFormat="1" applyFont="1" applyFill="1" applyBorder="1" applyAlignment="1">
      <alignment vertical="center"/>
    </xf>
    <xf numFmtId="0" fontId="10" fillId="0" borderId="10" xfId="0" applyNumberFormat="1" applyFont="1" applyFill="1" applyBorder="1" applyAlignment="1">
      <alignment horizontal="left" vertical="center" wrapText="1"/>
    </xf>
    <xf numFmtId="43" fontId="10" fillId="0" borderId="10" xfId="42" applyNumberFormat="1" applyFont="1" applyFill="1" applyBorder="1" applyAlignment="1">
      <alignment horizontal="right" vertical="center"/>
    </xf>
    <xf numFmtId="0" fontId="10" fillId="0" borderId="10" xfId="0" applyFont="1" applyFill="1" applyBorder="1" applyAlignment="1">
      <alignment vertical="center"/>
    </xf>
    <xf numFmtId="43" fontId="10" fillId="0" borderId="10" xfId="42" applyNumberFormat="1" applyFont="1" applyFill="1" applyBorder="1" applyAlignment="1" quotePrefix="1">
      <alignment horizontal="right" vertical="center"/>
    </xf>
    <xf numFmtId="0" fontId="10" fillId="0" borderId="10" xfId="0" applyNumberFormat="1" applyFont="1" applyFill="1" applyBorder="1" applyAlignment="1">
      <alignment vertical="center" wrapText="1"/>
    </xf>
    <xf numFmtId="170" fontId="9" fillId="0" borderId="10" xfId="0" applyNumberFormat="1" applyFont="1" applyFill="1" applyBorder="1" applyAlignment="1">
      <alignment horizontal="right" vertical="center" wrapText="1"/>
    </xf>
    <xf numFmtId="0" fontId="10" fillId="0" borderId="10" xfId="0" applyFont="1" applyFill="1" applyBorder="1" applyAlignment="1">
      <alignment vertical="center" wrapText="1"/>
    </xf>
    <xf numFmtId="166" fontId="10" fillId="0" borderId="10" xfId="42" applyNumberFormat="1" applyFont="1" applyFill="1" applyBorder="1" applyAlignment="1">
      <alignment horizontal="right" vertical="center"/>
    </xf>
    <xf numFmtId="167" fontId="3" fillId="0" borderId="10" xfId="42" applyNumberFormat="1" applyFont="1" applyFill="1" applyBorder="1" applyAlignment="1">
      <alignment vertical="center"/>
    </xf>
    <xf numFmtId="167" fontId="25" fillId="0" borderId="10" xfId="42" applyNumberFormat="1" applyFont="1" applyFill="1" applyBorder="1" applyAlignment="1">
      <alignment vertical="center"/>
    </xf>
    <xf numFmtId="167" fontId="44" fillId="0" borderId="10" xfId="42" applyNumberFormat="1" applyFont="1" applyFill="1" applyBorder="1" applyAlignment="1">
      <alignment vertical="center"/>
    </xf>
    <xf numFmtId="164" fontId="3" fillId="0" borderId="10" xfId="42" applyNumberFormat="1" applyFont="1" applyFill="1" applyBorder="1" applyAlignment="1">
      <alignment vertical="center"/>
    </xf>
    <xf numFmtId="0" fontId="20" fillId="0" borderId="0" xfId="0" applyFont="1" applyFill="1" applyAlignment="1">
      <alignment horizontal="center" vertical="center"/>
    </xf>
    <xf numFmtId="164" fontId="25" fillId="0" borderId="10" xfId="58" applyNumberFormat="1" applyFont="1" applyFill="1" applyBorder="1" applyAlignment="1">
      <alignment vertical="center"/>
      <protection/>
    </xf>
    <xf numFmtId="164" fontId="44" fillId="0" borderId="10" xfId="42" applyNumberFormat="1" applyFont="1" applyFill="1" applyBorder="1" applyAlignment="1">
      <alignment vertical="center"/>
    </xf>
    <xf numFmtId="164" fontId="25" fillId="0" borderId="10" xfId="42" applyNumberFormat="1" applyFont="1" applyFill="1" applyBorder="1" applyAlignment="1">
      <alignment vertical="center"/>
    </xf>
    <xf numFmtId="167" fontId="45" fillId="0" borderId="10" xfId="42" applyNumberFormat="1" applyFont="1" applyFill="1" applyBorder="1" applyAlignment="1">
      <alignment vertical="center"/>
    </xf>
    <xf numFmtId="164" fontId="25" fillId="0" borderId="10" xfId="59" applyNumberFormat="1" applyFont="1" applyFill="1" applyBorder="1" applyAlignment="1">
      <alignment vertical="center"/>
      <protection/>
    </xf>
    <xf numFmtId="166" fontId="3" fillId="0" borderId="10" xfId="42" applyNumberFormat="1" applyFont="1" applyFill="1" applyBorder="1" applyAlignment="1">
      <alignment vertical="center"/>
    </xf>
    <xf numFmtId="164" fontId="25" fillId="0" borderId="10" xfId="60" applyNumberFormat="1" applyFont="1" applyFill="1" applyBorder="1" applyAlignment="1">
      <alignment vertical="center"/>
      <protection/>
    </xf>
    <xf numFmtId="0" fontId="25" fillId="0" borderId="10" xfId="60" applyFont="1" applyFill="1" applyBorder="1" applyAlignment="1">
      <alignment vertical="center"/>
      <protection/>
    </xf>
    <xf numFmtId="164" fontId="25" fillId="0" borderId="10" xfId="60" applyNumberFormat="1" applyFont="1" applyFill="1" applyBorder="1" applyAlignment="1">
      <alignment horizontal="right" vertical="center"/>
      <protection/>
    </xf>
    <xf numFmtId="164" fontId="3" fillId="0" borderId="10" xfId="60" applyNumberFormat="1" applyFont="1" applyFill="1" applyBorder="1" applyAlignment="1">
      <alignment vertical="center"/>
      <protection/>
    </xf>
    <xf numFmtId="164" fontId="25" fillId="0" borderId="10" xfId="42" applyNumberFormat="1" applyFont="1" applyFill="1" applyBorder="1" applyAlignment="1">
      <alignment horizontal="center" vertical="center"/>
    </xf>
    <xf numFmtId="164" fontId="3" fillId="0" borderId="10" xfId="42" applyNumberFormat="1" applyFont="1" applyFill="1" applyBorder="1" applyAlignment="1">
      <alignment horizontal="center" vertical="center"/>
    </xf>
    <xf numFmtId="164" fontId="45" fillId="0" borderId="10" xfId="42" applyNumberFormat="1" applyFont="1" applyFill="1" applyBorder="1" applyAlignment="1">
      <alignment vertical="center"/>
    </xf>
    <xf numFmtId="43" fontId="25" fillId="0" borderId="10" xfId="42" applyFont="1" applyFill="1" applyBorder="1" applyAlignment="1">
      <alignment vertical="center"/>
    </xf>
    <xf numFmtId="164" fontId="19" fillId="0" borderId="10" xfId="61" applyNumberFormat="1" applyFont="1" applyBorder="1" applyAlignment="1">
      <alignment horizontal="right" vertical="center"/>
      <protection/>
    </xf>
    <xf numFmtId="164" fontId="20" fillId="0" borderId="10" xfId="61" applyNumberFormat="1" applyFont="1" applyBorder="1" applyAlignment="1">
      <alignment horizontal="right" vertical="center"/>
      <protection/>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44" fillId="0" borderId="0"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xf>
    <xf numFmtId="0" fontId="13" fillId="0" borderId="0" xfId="0" applyNumberFormat="1" applyFont="1" applyFill="1" applyBorder="1" applyAlignment="1">
      <alignment horizontal="right" vertical="center"/>
    </xf>
    <xf numFmtId="0"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13" fillId="0" borderId="0" xfId="0" applyNumberFormat="1" applyFont="1" applyFill="1" applyAlignment="1">
      <alignment horizontal="center" vertical="center"/>
    </xf>
    <xf numFmtId="0" fontId="0" fillId="0" borderId="0" xfId="0" applyFont="1" applyFill="1" applyAlignment="1">
      <alignment horizontal="center" vertical="center"/>
    </xf>
    <xf numFmtId="0"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3" fillId="0" borderId="10" xfId="0"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15" fillId="0" borderId="0" xfId="0" applyNumberFormat="1" applyFont="1" applyFill="1" applyAlignment="1">
      <alignment horizontal="center" vertical="center"/>
    </xf>
    <xf numFmtId="0" fontId="13" fillId="0" borderId="17" xfId="0" applyFont="1" applyFill="1" applyBorder="1" applyAlignment="1">
      <alignment horizontal="right" vertical="center"/>
    </xf>
    <xf numFmtId="0" fontId="0" fillId="0" borderId="10" xfId="0" applyFont="1" applyFill="1" applyBorder="1" applyAlignment="1">
      <alignment horizontal="center" vertical="center" wrapText="1"/>
    </xf>
    <xf numFmtId="0" fontId="3" fillId="0" borderId="0" xfId="0" applyNumberFormat="1" applyFont="1" applyAlignment="1">
      <alignment horizontal="center" vertical="center"/>
    </xf>
    <xf numFmtId="0" fontId="3" fillId="0" borderId="0" xfId="0" applyFont="1" applyAlignment="1">
      <alignment horizontal="center" vertical="center"/>
    </xf>
    <xf numFmtId="0" fontId="13" fillId="0" borderId="0" xfId="0" applyNumberFormat="1" applyFont="1" applyAlignment="1">
      <alignment horizontal="center" vertical="center"/>
    </xf>
    <xf numFmtId="0" fontId="0" fillId="0" borderId="0" xfId="0" applyFont="1" applyAlignment="1">
      <alignment horizontal="center" vertical="center"/>
    </xf>
    <xf numFmtId="0" fontId="15" fillId="0" borderId="0" xfId="0" applyNumberFormat="1" applyFont="1" applyAlignment="1">
      <alignment horizontal="center" vertical="center"/>
    </xf>
    <xf numFmtId="0" fontId="20" fillId="0" borderId="0" xfId="0" applyFont="1" applyAlignment="1">
      <alignment horizontal="center" vertical="center"/>
    </xf>
    <xf numFmtId="0" fontId="13" fillId="0" borderId="17" xfId="0" applyNumberFormat="1" applyFont="1" applyBorder="1" applyAlignment="1">
      <alignment horizontal="right" vertical="center"/>
    </xf>
    <xf numFmtId="0" fontId="19"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164" fontId="0" fillId="0" borderId="0" xfId="42" applyNumberFormat="1" applyFont="1" applyAlignment="1">
      <alignment horizontal="center" vertical="center"/>
    </xf>
    <xf numFmtId="0" fontId="20" fillId="0" borderId="10" xfId="0" applyNumberFormat="1" applyFont="1" applyBorder="1" applyAlignment="1">
      <alignment horizontal="center" vertical="center" wrapText="1"/>
    </xf>
    <xf numFmtId="0" fontId="19" fillId="0" borderId="10" xfId="0" applyNumberFormat="1" applyFont="1" applyBorder="1" applyAlignment="1">
      <alignment horizontal="center" vertical="center"/>
    </xf>
    <xf numFmtId="0" fontId="0" fillId="0" borderId="0" xfId="0" applyNumberFormat="1" applyFont="1" applyFill="1" applyAlignment="1">
      <alignment horizontal="left" vertical="center" wrapText="1"/>
    </xf>
    <xf numFmtId="0" fontId="1" fillId="0" borderId="0" xfId="0" applyNumberFormat="1" applyFont="1" applyFill="1" applyBorder="1" applyAlignment="1">
      <alignment horizontal="left" vertical="center" wrapText="1"/>
    </xf>
    <xf numFmtId="165" fontId="13" fillId="0" borderId="17" xfId="42" applyNumberFormat="1" applyFont="1" applyFill="1" applyBorder="1" applyAlignment="1">
      <alignment horizontal="center" vertical="center"/>
    </xf>
    <xf numFmtId="0" fontId="3" fillId="0" borderId="0" xfId="57" applyFont="1" applyFill="1" applyAlignment="1">
      <alignment horizontal="center" vertical="center"/>
      <protection/>
    </xf>
    <xf numFmtId="0" fontId="13" fillId="0" borderId="0" xfId="57" applyFont="1" applyFill="1" applyAlignment="1">
      <alignment horizontal="center" vertical="center"/>
      <protection/>
    </xf>
    <xf numFmtId="0" fontId="15" fillId="0" borderId="0" xfId="57" applyFont="1" applyFill="1" applyAlignment="1">
      <alignment horizontal="center" vertical="center"/>
      <protection/>
    </xf>
    <xf numFmtId="164" fontId="7" fillId="0" borderId="17" xfId="42" applyNumberFormat="1" applyFont="1" applyFill="1" applyBorder="1" applyAlignment="1">
      <alignment horizontal="center" vertical="center"/>
    </xf>
    <xf numFmtId="0" fontId="9" fillId="0" borderId="10" xfId="0" applyFont="1" applyFill="1" applyBorder="1" applyAlignment="1">
      <alignment horizontal="center" vertical="center"/>
    </xf>
    <xf numFmtId="164" fontId="9" fillId="0" borderId="10" xfId="42" applyNumberFormat="1" applyFont="1" applyFill="1" applyBorder="1" applyAlignment="1">
      <alignment horizontal="center" vertical="center" wrapText="1"/>
    </xf>
    <xf numFmtId="43" fontId="9" fillId="0" borderId="10" xfId="42" applyFont="1" applyFill="1" applyBorder="1" applyAlignment="1">
      <alignment horizontal="center" vertical="center"/>
    </xf>
    <xf numFmtId="43" fontId="9" fillId="0" borderId="10" xfId="42" applyFont="1" applyFill="1" applyBorder="1" applyAlignment="1">
      <alignment horizontal="center" vertical="center" wrapText="1"/>
    </xf>
    <xf numFmtId="170" fontId="10" fillId="0" borderId="10" xfId="0" applyNumberFormat="1" applyFont="1" applyFill="1" applyBorder="1" applyAlignment="1">
      <alignment horizontal="right" vertical="center" wrapText="1"/>
    </xf>
    <xf numFmtId="164" fontId="10" fillId="0" borderId="10" xfId="42" applyNumberFormat="1" applyFont="1" applyFill="1" applyBorder="1" applyAlignment="1">
      <alignment horizontal="right" vertical="center" wrapText="1"/>
    </xf>
    <xf numFmtId="0" fontId="10" fillId="0" borderId="10" xfId="0" applyNumberFormat="1" applyFont="1" applyFill="1" applyBorder="1" applyAlignment="1">
      <alignment horizontal="right" vertical="center" wrapText="1"/>
    </xf>
    <xf numFmtId="43" fontId="10" fillId="0" borderId="10" xfId="42" applyFont="1" applyFill="1" applyBorder="1" applyAlignment="1">
      <alignment horizontal="right"/>
    </xf>
    <xf numFmtId="165" fontId="9" fillId="0" borderId="10" xfId="44" applyNumberFormat="1" applyFont="1" applyFill="1" applyBorder="1" applyAlignment="1">
      <alignment horizontal="right" vertical="center" wrapText="1"/>
    </xf>
    <xf numFmtId="170" fontId="10" fillId="0" borderId="10" xfId="57" applyNumberFormat="1" applyFont="1" applyFill="1" applyBorder="1" applyAlignment="1">
      <alignment horizontal="righ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ieu tong hop cong chuc xa" xfId="57"/>
    <cellStyle name="Normal_PL 01" xfId="58"/>
    <cellStyle name="Normal_PL 02" xfId="59"/>
    <cellStyle name="Normal_PL 03" xfId="60"/>
    <cellStyle name="Normal_PL06"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ownloads\sin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0"/>
      <sheetName val="PL 01"/>
      <sheetName val=" PL 02"/>
      <sheetName val="PL 03"/>
      <sheetName val="PL 4"/>
      <sheetName val="PL 05 DT K.chi"/>
      <sheetName val="PL 06 B.xung"/>
      <sheetName val="PL 07 TH chi xa"/>
      <sheetName val="PL chi xa"/>
      <sheetName val="PL 8 "/>
      <sheetName val="PL 9"/>
      <sheetName val="PL Thu xa"/>
      <sheetName val="PL 10"/>
      <sheetName val="00000000"/>
      <sheetName val="XL4Test5"/>
      <sheetName val="XL4Poppy"/>
      <sheetName val="PL 01HD"/>
      <sheetName val="PL 02 HD"/>
      <sheetName val="Sheet1"/>
      <sheetName val="Sheet2"/>
    </sheetNames>
    <sheetDataSet>
      <sheetData sheetId="7">
        <row r="56">
          <cell r="K56">
            <v>190000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50"/>
  <sheetViews>
    <sheetView tabSelected="1" zoomScalePageLayoutView="0" workbookViewId="0" topLeftCell="A5">
      <selection activeCell="F22" sqref="F22"/>
    </sheetView>
  </sheetViews>
  <sheetFormatPr defaultColWidth="9.00390625" defaultRowHeight="15.75"/>
  <cols>
    <col min="1" max="1" width="5.75390625" style="5" customWidth="1"/>
    <col min="2" max="2" width="44.25390625" style="5" customWidth="1"/>
    <col min="3" max="3" width="14.875" style="5" customWidth="1"/>
    <col min="4" max="4" width="15.50390625" style="5" customWidth="1"/>
    <col min="5" max="5" width="11.50390625" style="5" customWidth="1"/>
    <col min="6" max="6" width="15.75390625" style="5" customWidth="1"/>
    <col min="7" max="7" width="12.625" style="5" customWidth="1"/>
    <col min="8" max="8" width="13.875" style="2" customWidth="1"/>
    <col min="9" max="9" width="14.75390625" style="2" bestFit="1" customWidth="1"/>
    <col min="10" max="10" width="11.125" style="5" bestFit="1" customWidth="1"/>
    <col min="11" max="16384" width="9.00390625" style="5" customWidth="1"/>
  </cols>
  <sheetData>
    <row r="1" spans="1:7" ht="20.25" customHeight="1">
      <c r="A1" s="283" t="s">
        <v>418</v>
      </c>
      <c r="B1" s="283"/>
      <c r="C1" s="283"/>
      <c r="D1" s="283"/>
      <c r="E1" s="283"/>
      <c r="F1" s="283"/>
      <c r="G1" s="283"/>
    </row>
    <row r="2" spans="1:9" s="19" customFormat="1" ht="18.75">
      <c r="A2" s="283" t="s">
        <v>339</v>
      </c>
      <c r="B2" s="283"/>
      <c r="C2" s="283"/>
      <c r="D2" s="283"/>
      <c r="E2" s="283"/>
      <c r="F2" s="283"/>
      <c r="G2" s="283"/>
      <c r="H2" s="26"/>
      <c r="I2" s="26"/>
    </row>
    <row r="3" spans="1:8" ht="22.5" customHeight="1" hidden="1">
      <c r="A3" s="284" t="s">
        <v>382</v>
      </c>
      <c r="B3" s="284"/>
      <c r="C3" s="284"/>
      <c r="D3" s="284"/>
      <c r="E3" s="284"/>
      <c r="F3" s="284"/>
      <c r="G3" s="284"/>
      <c r="H3" s="5"/>
    </row>
    <row r="4" spans="1:8" ht="22.5" customHeight="1" hidden="1">
      <c r="A4" s="284" t="s">
        <v>409</v>
      </c>
      <c r="B4" s="284"/>
      <c r="C4" s="284"/>
      <c r="D4" s="284"/>
      <c r="E4" s="284"/>
      <c r="F4" s="284"/>
      <c r="G4" s="284"/>
      <c r="H4" s="5"/>
    </row>
    <row r="5" spans="1:8" ht="22.5" customHeight="1">
      <c r="A5" s="285" t="s">
        <v>419</v>
      </c>
      <c r="B5" s="285"/>
      <c r="C5" s="285"/>
      <c r="D5" s="285"/>
      <c r="E5" s="285"/>
      <c r="F5" s="285"/>
      <c r="G5" s="285"/>
      <c r="H5" s="5"/>
    </row>
    <row r="6" spans="1:8" ht="22.5" customHeight="1" hidden="1">
      <c r="A6" s="284" t="s">
        <v>412</v>
      </c>
      <c r="B6" s="284"/>
      <c r="C6" s="284"/>
      <c r="D6" s="284"/>
      <c r="E6" s="284"/>
      <c r="F6" s="284"/>
      <c r="G6" s="284"/>
      <c r="H6" s="5"/>
    </row>
    <row r="7" spans="1:7" ht="16.5" customHeight="1">
      <c r="A7" s="108"/>
      <c r="B7" s="108"/>
      <c r="C7" s="108"/>
      <c r="D7" s="286" t="s">
        <v>186</v>
      </c>
      <c r="E7" s="286"/>
      <c r="F7" s="286"/>
      <c r="G7" s="286"/>
    </row>
    <row r="8" spans="1:9" s="19" customFormat="1" ht="20.25" customHeight="1">
      <c r="A8" s="281" t="s">
        <v>0</v>
      </c>
      <c r="B8" s="281" t="s">
        <v>165</v>
      </c>
      <c r="C8" s="281" t="s">
        <v>340</v>
      </c>
      <c r="D8" s="281" t="s">
        <v>341</v>
      </c>
      <c r="E8" s="293" t="s">
        <v>1</v>
      </c>
      <c r="F8" s="293"/>
      <c r="G8" s="293"/>
      <c r="H8" s="3"/>
      <c r="I8" s="26"/>
    </row>
    <row r="9" spans="1:9" s="19" customFormat="1" ht="15" customHeight="1">
      <c r="A9" s="282"/>
      <c r="B9" s="282"/>
      <c r="C9" s="282"/>
      <c r="D9" s="282"/>
      <c r="E9" s="281" t="s">
        <v>166</v>
      </c>
      <c r="F9" s="281" t="s">
        <v>167</v>
      </c>
      <c r="G9" s="281" t="s">
        <v>168</v>
      </c>
      <c r="H9" s="3"/>
      <c r="I9" s="26"/>
    </row>
    <row r="10" spans="1:9" s="19" customFormat="1" ht="24.75" customHeight="1">
      <c r="A10" s="282"/>
      <c r="B10" s="282"/>
      <c r="C10" s="282"/>
      <c r="D10" s="282"/>
      <c r="E10" s="282"/>
      <c r="F10" s="282"/>
      <c r="G10" s="282"/>
      <c r="H10" s="26"/>
      <c r="I10" s="26"/>
    </row>
    <row r="11" spans="1:10" s="19" customFormat="1" ht="21.75" customHeight="1">
      <c r="A11" s="101"/>
      <c r="B11" s="98" t="s">
        <v>420</v>
      </c>
      <c r="C11" s="260">
        <v>319494000</v>
      </c>
      <c r="D11" s="260">
        <v>322951000</v>
      </c>
      <c r="E11" s="111">
        <f>SUM(E12+E32+E39+E31)</f>
        <v>385000</v>
      </c>
      <c r="F11" s="260">
        <v>321206000</v>
      </c>
      <c r="G11" s="260">
        <v>1360000</v>
      </c>
      <c r="H11" s="26"/>
      <c r="I11" s="26"/>
      <c r="J11" s="26"/>
    </row>
    <row r="12" spans="1:9" s="19" customFormat="1" ht="18" customHeight="1">
      <c r="A12" s="98" t="s">
        <v>27</v>
      </c>
      <c r="B12" s="102" t="s">
        <v>170</v>
      </c>
      <c r="C12" s="260">
        <v>24000000</v>
      </c>
      <c r="D12" s="260">
        <v>26500000</v>
      </c>
      <c r="E12" s="111">
        <f>E13+E14+E15+E21+E22+E23+E24+E25+E26+E27+E28+E30</f>
        <v>385000</v>
      </c>
      <c r="F12" s="260">
        <v>24755000</v>
      </c>
      <c r="G12" s="260">
        <v>1360000</v>
      </c>
      <c r="H12" s="27"/>
      <c r="I12" s="26"/>
    </row>
    <row r="13" spans="1:9" s="19" customFormat="1" ht="18" customHeight="1">
      <c r="A13" s="103">
        <v>1</v>
      </c>
      <c r="B13" s="104" t="s">
        <v>150</v>
      </c>
      <c r="C13" s="261">
        <v>200000</v>
      </c>
      <c r="D13" s="261">
        <v>500000</v>
      </c>
      <c r="E13" s="112"/>
      <c r="F13" s="261">
        <v>500000</v>
      </c>
      <c r="G13" s="261">
        <v>0</v>
      </c>
      <c r="H13" s="26"/>
      <c r="I13" s="26"/>
    </row>
    <row r="14" spans="1:7" ht="18" customHeight="1">
      <c r="A14" s="103">
        <v>2</v>
      </c>
      <c r="B14" s="104" t="s">
        <v>171</v>
      </c>
      <c r="C14" s="265">
        <v>150000</v>
      </c>
      <c r="D14" s="261">
        <v>150000</v>
      </c>
      <c r="E14" s="112"/>
      <c r="F14" s="261">
        <v>150000</v>
      </c>
      <c r="G14" s="261">
        <v>0</v>
      </c>
    </row>
    <row r="15" spans="1:9" s="19" customFormat="1" ht="18" customHeight="1">
      <c r="A15" s="103">
        <v>3</v>
      </c>
      <c r="B15" s="104" t="s">
        <v>172</v>
      </c>
      <c r="C15" s="261">
        <v>17300000</v>
      </c>
      <c r="D15" s="261">
        <v>18000000</v>
      </c>
      <c r="E15" s="112">
        <f>SUM(E16:E20)</f>
        <v>0</v>
      </c>
      <c r="F15" s="261">
        <v>17290000</v>
      </c>
      <c r="G15" s="261">
        <v>710000</v>
      </c>
      <c r="H15" s="26"/>
      <c r="I15" s="26"/>
    </row>
    <row r="16" spans="1:9" s="110" customFormat="1" ht="18" customHeight="1">
      <c r="A16" s="106"/>
      <c r="B16" s="104" t="s">
        <v>152</v>
      </c>
      <c r="C16" s="266"/>
      <c r="D16" s="261">
        <v>120000</v>
      </c>
      <c r="E16" s="112"/>
      <c r="F16" s="261">
        <v>20000</v>
      </c>
      <c r="G16" s="261">
        <v>100000</v>
      </c>
      <c r="H16" s="109"/>
      <c r="I16" s="109"/>
    </row>
    <row r="17" spans="1:9" s="110" customFormat="1" ht="18" customHeight="1">
      <c r="A17" s="106"/>
      <c r="B17" s="104" t="s">
        <v>153</v>
      </c>
      <c r="C17" s="266"/>
      <c r="D17" s="261">
        <v>0</v>
      </c>
      <c r="E17" s="112"/>
      <c r="F17" s="261">
        <v>0</v>
      </c>
      <c r="G17" s="261">
        <v>0</v>
      </c>
      <c r="H17" s="109"/>
      <c r="I17" s="109"/>
    </row>
    <row r="18" spans="1:9" s="110" customFormat="1" ht="18" customHeight="1">
      <c r="A18" s="106"/>
      <c r="B18" s="104" t="s">
        <v>173</v>
      </c>
      <c r="C18" s="266"/>
      <c r="D18" s="261">
        <v>10235000</v>
      </c>
      <c r="E18" s="112"/>
      <c r="F18" s="261">
        <v>9720000</v>
      </c>
      <c r="G18" s="261">
        <v>515000</v>
      </c>
      <c r="H18" s="109"/>
      <c r="I18" s="109"/>
    </row>
    <row r="19" spans="1:9" s="110" customFormat="1" ht="18" customHeight="1">
      <c r="A19" s="106"/>
      <c r="B19" s="104" t="s">
        <v>155</v>
      </c>
      <c r="C19" s="266"/>
      <c r="D19" s="261">
        <v>7595000</v>
      </c>
      <c r="E19" s="112"/>
      <c r="F19" s="261">
        <v>7500000</v>
      </c>
      <c r="G19" s="261">
        <v>95000</v>
      </c>
      <c r="H19" s="109"/>
      <c r="I19" s="109"/>
    </row>
    <row r="20" spans="1:9" s="110" customFormat="1" ht="18" customHeight="1">
      <c r="A20" s="106"/>
      <c r="B20" s="104" t="s">
        <v>156</v>
      </c>
      <c r="C20" s="266"/>
      <c r="D20" s="261">
        <v>50000</v>
      </c>
      <c r="E20" s="112"/>
      <c r="F20" s="261">
        <v>50000</v>
      </c>
      <c r="G20" s="261">
        <v>0</v>
      </c>
      <c r="H20" s="109"/>
      <c r="I20" s="109"/>
    </row>
    <row r="21" spans="1:7" ht="18" customHeight="1">
      <c r="A21" s="103">
        <v>4</v>
      </c>
      <c r="B21" s="104" t="s">
        <v>157</v>
      </c>
      <c r="C21" s="267">
        <v>700000</v>
      </c>
      <c r="D21" s="261">
        <v>700000</v>
      </c>
      <c r="E21" s="112"/>
      <c r="F21" s="261">
        <v>500000</v>
      </c>
      <c r="G21" s="261">
        <v>200000</v>
      </c>
    </row>
    <row r="22" spans="1:7" ht="18" customHeight="1">
      <c r="A22" s="103">
        <v>5</v>
      </c>
      <c r="B22" s="104" t="s">
        <v>174</v>
      </c>
      <c r="C22" s="261">
        <v>2000000</v>
      </c>
      <c r="D22" s="261">
        <v>3000000</v>
      </c>
      <c r="E22" s="112"/>
      <c r="F22" s="261">
        <v>3000000</v>
      </c>
      <c r="G22" s="261">
        <v>0</v>
      </c>
    </row>
    <row r="23" spans="1:7" ht="18" customHeight="1">
      <c r="A23" s="103">
        <v>6</v>
      </c>
      <c r="B23" s="104" t="s">
        <v>183</v>
      </c>
      <c r="C23" s="261"/>
      <c r="D23" s="261">
        <v>0</v>
      </c>
      <c r="E23" s="112"/>
      <c r="F23" s="261">
        <v>0</v>
      </c>
      <c r="G23" s="261">
        <v>0</v>
      </c>
    </row>
    <row r="24" spans="1:7" ht="18" customHeight="1">
      <c r="A24" s="103">
        <v>7</v>
      </c>
      <c r="B24" s="104" t="s">
        <v>159</v>
      </c>
      <c r="C24" s="261">
        <v>10000</v>
      </c>
      <c r="D24" s="261">
        <v>210000</v>
      </c>
      <c r="E24" s="112"/>
      <c r="F24" s="261">
        <v>210000</v>
      </c>
      <c r="G24" s="261">
        <v>0</v>
      </c>
    </row>
    <row r="25" spans="1:7" ht="18" customHeight="1">
      <c r="A25" s="103">
        <v>8</v>
      </c>
      <c r="B25" s="104" t="s">
        <v>175</v>
      </c>
      <c r="C25" s="261">
        <v>340000</v>
      </c>
      <c r="D25" s="261">
        <v>340000</v>
      </c>
      <c r="E25" s="112"/>
      <c r="F25" s="261">
        <v>90000</v>
      </c>
      <c r="G25" s="261">
        <v>250000</v>
      </c>
    </row>
    <row r="26" spans="1:7" ht="18" customHeight="1">
      <c r="A26" s="103">
        <v>9</v>
      </c>
      <c r="B26" s="104" t="s">
        <v>161</v>
      </c>
      <c r="C26" s="267">
        <v>1100000</v>
      </c>
      <c r="D26" s="261">
        <v>1100000</v>
      </c>
      <c r="E26" s="112"/>
      <c r="F26" s="261">
        <v>1100000</v>
      </c>
      <c r="G26" s="261">
        <v>0</v>
      </c>
    </row>
    <row r="27" spans="1:7" ht="18" customHeight="1">
      <c r="A27" s="103">
        <v>10</v>
      </c>
      <c r="B27" s="104" t="s">
        <v>162</v>
      </c>
      <c r="C27" s="267">
        <v>200000</v>
      </c>
      <c r="D27" s="261">
        <v>200000</v>
      </c>
      <c r="E27" s="112"/>
      <c r="F27" s="261">
        <v>0</v>
      </c>
      <c r="G27" s="261">
        <v>200000</v>
      </c>
    </row>
    <row r="28" spans="1:7" ht="18" customHeight="1">
      <c r="A28" s="103">
        <v>11</v>
      </c>
      <c r="B28" s="104" t="s">
        <v>148</v>
      </c>
      <c r="C28" s="261">
        <v>2000000</v>
      </c>
      <c r="D28" s="261">
        <v>2300000</v>
      </c>
      <c r="E28" s="112">
        <v>385000</v>
      </c>
      <c r="F28" s="261">
        <v>1915000</v>
      </c>
      <c r="G28" s="261">
        <v>0</v>
      </c>
    </row>
    <row r="29" spans="1:9" s="110" customFormat="1" ht="18" customHeight="1">
      <c r="A29" s="103"/>
      <c r="B29" s="104" t="s">
        <v>421</v>
      </c>
      <c r="C29" s="262"/>
      <c r="D29" s="261">
        <v>0</v>
      </c>
      <c r="E29" s="112"/>
      <c r="F29" s="112"/>
      <c r="G29" s="112"/>
      <c r="H29" s="109"/>
      <c r="I29" s="109"/>
    </row>
    <row r="30" spans="1:9" s="22" customFormat="1" ht="18" customHeight="1">
      <c r="A30" s="103">
        <v>12</v>
      </c>
      <c r="B30" s="104" t="s">
        <v>163</v>
      </c>
      <c r="C30" s="261"/>
      <c r="D30" s="261">
        <v>0</v>
      </c>
      <c r="E30" s="114"/>
      <c r="F30" s="112">
        <f>'PL 03'!$C$25</f>
        <v>0</v>
      </c>
      <c r="G30" s="112">
        <f>'PL 03'!C25-'PL 03'!L25</f>
        <v>0</v>
      </c>
      <c r="H30" s="28"/>
      <c r="I30" s="28"/>
    </row>
    <row r="31" spans="1:9" s="21" customFormat="1" ht="34.5" customHeight="1">
      <c r="A31" s="98" t="str">
        <f>'pl 02'!A28</f>
        <v>II</v>
      </c>
      <c r="B31" s="105" t="str">
        <f>'pl 02'!B28</f>
        <v>Thu chuyển nguồn (50% tăng thu ngân sách năm 2015 để thực hiện CCTL)</v>
      </c>
      <c r="C31" s="112">
        <v>0</v>
      </c>
      <c r="D31" s="261">
        <v>0</v>
      </c>
      <c r="E31" s="115"/>
      <c r="F31" s="111">
        <f>'pl 02'!$E$28</f>
        <v>0</v>
      </c>
      <c r="G31" s="111"/>
      <c r="H31" s="90"/>
      <c r="I31" s="90"/>
    </row>
    <row r="32" spans="1:9" s="19" customFormat="1" ht="18" customHeight="1">
      <c r="A32" s="98" t="s">
        <v>44</v>
      </c>
      <c r="B32" s="102" t="s">
        <v>176</v>
      </c>
      <c r="C32" s="263"/>
      <c r="D32" s="263">
        <v>957000</v>
      </c>
      <c r="E32" s="116">
        <f>SUM(E33:E38)</f>
        <v>0</v>
      </c>
      <c r="F32" s="116">
        <f>SUM(F33:F38)</f>
        <v>957000</v>
      </c>
      <c r="G32" s="116">
        <f>SUM(G33:G38)</f>
        <v>0</v>
      </c>
      <c r="H32" s="2"/>
      <c r="I32" s="26"/>
    </row>
    <row r="33" spans="1:7" ht="18" customHeight="1">
      <c r="A33" s="103">
        <v>1</v>
      </c>
      <c r="B33" s="104" t="str">
        <f>'pl 02'!B30</f>
        <v>Phòng Tài chính - Kế hoạch </v>
      </c>
      <c r="C33" s="267">
        <v>0</v>
      </c>
      <c r="D33" s="261">
        <v>1000</v>
      </c>
      <c r="E33" s="113"/>
      <c r="F33" s="113">
        <f>'pl 02'!E30</f>
        <v>1000</v>
      </c>
      <c r="G33" s="113"/>
    </row>
    <row r="34" spans="1:7" ht="18" customHeight="1">
      <c r="A34" s="103">
        <v>2</v>
      </c>
      <c r="B34" s="104" t="s">
        <v>422</v>
      </c>
      <c r="C34" s="267">
        <v>0</v>
      </c>
      <c r="D34" s="261">
        <v>50000</v>
      </c>
      <c r="E34" s="113"/>
      <c r="F34" s="113">
        <f>'pl 02'!E31</f>
        <v>50000</v>
      </c>
      <c r="G34" s="113"/>
    </row>
    <row r="35" spans="1:9" s="22" customFormat="1" ht="18" customHeight="1">
      <c r="A35" s="103">
        <v>3</v>
      </c>
      <c r="B35" s="104" t="s">
        <v>423</v>
      </c>
      <c r="C35" s="267">
        <v>0</v>
      </c>
      <c r="D35" s="261">
        <v>270000</v>
      </c>
      <c r="E35" s="113"/>
      <c r="F35" s="113">
        <f>'pl 02'!E32</f>
        <v>270000</v>
      </c>
      <c r="G35" s="117"/>
      <c r="H35" s="28"/>
      <c r="I35" s="28"/>
    </row>
    <row r="36" spans="1:7" ht="18" customHeight="1">
      <c r="A36" s="103">
        <v>5</v>
      </c>
      <c r="B36" s="104" t="s">
        <v>424</v>
      </c>
      <c r="C36" s="267">
        <v>0</v>
      </c>
      <c r="D36" s="261">
        <v>100000</v>
      </c>
      <c r="E36" s="113"/>
      <c r="F36" s="113">
        <f>'pl 02'!E33</f>
        <v>100000</v>
      </c>
      <c r="G36" s="113"/>
    </row>
    <row r="37" spans="1:7" ht="18" customHeight="1">
      <c r="A37" s="103">
        <v>6</v>
      </c>
      <c r="B37" s="104" t="s">
        <v>425</v>
      </c>
      <c r="C37" s="267">
        <v>0</v>
      </c>
      <c r="D37" s="261">
        <v>110000</v>
      </c>
      <c r="E37" s="113"/>
      <c r="F37" s="113">
        <f>'pl 02'!E34</f>
        <v>110000</v>
      </c>
      <c r="G37" s="113"/>
    </row>
    <row r="38" spans="1:7" ht="18" customHeight="1">
      <c r="A38" s="103">
        <v>7</v>
      </c>
      <c r="B38" s="104" t="str">
        <f>'pl 02'!B35</f>
        <v>Trạm khai thác và bảo vệ CCTL</v>
      </c>
      <c r="C38" s="267">
        <v>0</v>
      </c>
      <c r="D38" s="261">
        <v>426000</v>
      </c>
      <c r="E38" s="113"/>
      <c r="F38" s="113">
        <f>'pl 02'!E35</f>
        <v>426000</v>
      </c>
      <c r="G38" s="113"/>
    </row>
    <row r="39" spans="1:9" s="19" customFormat="1" ht="18" customHeight="1">
      <c r="A39" s="98" t="s">
        <v>46</v>
      </c>
      <c r="B39" s="102" t="s">
        <v>177</v>
      </c>
      <c r="C39" s="260">
        <v>295494000</v>
      </c>
      <c r="D39" s="260">
        <v>295494000</v>
      </c>
      <c r="E39" s="111">
        <f>SUM(E40:E42)</f>
        <v>0</v>
      </c>
      <c r="F39" s="111">
        <f>SUM(F40:F42)</f>
        <v>295494000</v>
      </c>
      <c r="G39" s="111">
        <f>SUM(G40:G42)</f>
        <v>0</v>
      </c>
      <c r="H39" s="26"/>
      <c r="I39" s="26"/>
    </row>
    <row r="40" spans="1:7" ht="18" customHeight="1">
      <c r="A40" s="106">
        <v>1</v>
      </c>
      <c r="B40" s="104" t="s">
        <v>178</v>
      </c>
      <c r="C40" s="261">
        <v>294275000</v>
      </c>
      <c r="D40" s="261">
        <v>294275000</v>
      </c>
      <c r="E40" s="112"/>
      <c r="F40" s="112">
        <f>'pl 02'!$D$37</f>
        <v>294275000</v>
      </c>
      <c r="G40" s="112"/>
    </row>
    <row r="41" spans="1:7" ht="22.5" customHeight="1">
      <c r="A41" s="106">
        <v>2</v>
      </c>
      <c r="B41" s="107" t="s">
        <v>179</v>
      </c>
      <c r="C41" s="261">
        <v>1219000</v>
      </c>
      <c r="D41" s="261">
        <v>1219000</v>
      </c>
      <c r="E41" s="112"/>
      <c r="F41" s="112">
        <f>'pl 02'!D38</f>
        <v>1219000</v>
      </c>
      <c r="G41" s="112"/>
    </row>
    <row r="42" spans="1:7" ht="22.5" customHeight="1">
      <c r="A42" s="106">
        <v>3</v>
      </c>
      <c r="B42" s="107" t="s">
        <v>180</v>
      </c>
      <c r="C42" s="261">
        <v>0</v>
      </c>
      <c r="D42" s="261">
        <v>0</v>
      </c>
      <c r="E42" s="112"/>
      <c r="F42" s="112"/>
      <c r="G42" s="112"/>
    </row>
    <row r="43" ht="22.5" customHeight="1"/>
    <row r="44" spans="2:9" s="19" customFormat="1" ht="15.75">
      <c r="B44" s="29"/>
      <c r="C44" s="29"/>
      <c r="D44" s="289"/>
      <c r="E44" s="290"/>
      <c r="F44" s="290"/>
      <c r="G44" s="25"/>
      <c r="H44" s="26"/>
      <c r="I44" s="26"/>
    </row>
    <row r="45" spans="1:9" s="19" customFormat="1" ht="15.75">
      <c r="A45" s="291"/>
      <c r="B45" s="292"/>
      <c r="C45" s="30"/>
      <c r="D45" s="291"/>
      <c r="E45" s="292"/>
      <c r="F45" s="292"/>
      <c r="G45" s="30"/>
      <c r="H45" s="26"/>
      <c r="I45" s="26"/>
    </row>
    <row r="46" spans="8:9" s="19" customFormat="1" ht="15.75">
      <c r="H46" s="26"/>
      <c r="I46" s="26"/>
    </row>
    <row r="47" spans="8:9" s="19" customFormat="1" ht="15.75">
      <c r="H47" s="26"/>
      <c r="I47" s="26"/>
    </row>
    <row r="48" spans="8:9" s="19" customFormat="1" ht="15.75">
      <c r="H48" s="26"/>
      <c r="I48" s="26"/>
    </row>
    <row r="49" spans="8:9" s="19" customFormat="1" ht="15.75">
      <c r="H49" s="26"/>
      <c r="I49" s="26"/>
    </row>
    <row r="50" spans="2:9" s="19" customFormat="1" ht="15.75">
      <c r="B50" s="31"/>
      <c r="D50" s="287"/>
      <c r="E50" s="288"/>
      <c r="F50" s="288"/>
      <c r="G50" s="24"/>
      <c r="H50" s="26"/>
      <c r="I50" s="26"/>
    </row>
  </sheetData>
  <sheetProtection/>
  <mergeCells count="19">
    <mergeCell ref="D50:F50"/>
    <mergeCell ref="G9:G10"/>
    <mergeCell ref="D44:F44"/>
    <mergeCell ref="A45:B45"/>
    <mergeCell ref="D45:F45"/>
    <mergeCell ref="A8:A10"/>
    <mergeCell ref="B8:B10"/>
    <mergeCell ref="C8:C10"/>
    <mergeCell ref="D8:D10"/>
    <mergeCell ref="E8:G8"/>
    <mergeCell ref="E9:E10"/>
    <mergeCell ref="F9:F10"/>
    <mergeCell ref="A1:G1"/>
    <mergeCell ref="A2:G2"/>
    <mergeCell ref="A3:G3"/>
    <mergeCell ref="A4:G4"/>
    <mergeCell ref="A5:G5"/>
    <mergeCell ref="A6:G6"/>
    <mergeCell ref="D7:G7"/>
  </mergeCells>
  <printOptions/>
  <pageMargins left="0.76" right="0.17" top="0.38" bottom="0.4" header="0.38" footer="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9"/>
  <sheetViews>
    <sheetView zoomScalePageLayoutView="0" workbookViewId="0" topLeftCell="A1">
      <selection activeCell="C4" sqref="C4:F4"/>
    </sheetView>
  </sheetViews>
  <sheetFormatPr defaultColWidth="9.00390625" defaultRowHeight="15.75"/>
  <cols>
    <col min="1" max="1" width="5.625" style="5" customWidth="1"/>
    <col min="2" max="2" width="44.25390625" style="5" customWidth="1"/>
    <col min="3" max="3" width="15.375" style="5" customWidth="1"/>
    <col min="4" max="4" width="15.625" style="5" customWidth="1"/>
    <col min="5" max="5" width="12.875" style="5" customWidth="1"/>
    <col min="6" max="6" width="9.625" style="5" customWidth="1"/>
    <col min="7" max="7" width="16.75390625" style="5" bestFit="1" customWidth="1"/>
    <col min="8" max="16384" width="9.00390625" style="5" customWidth="1"/>
  </cols>
  <sheetData>
    <row r="1" spans="1:6" ht="22.5" customHeight="1">
      <c r="A1" s="294" t="s">
        <v>428</v>
      </c>
      <c r="B1" s="295"/>
      <c r="C1" s="295"/>
      <c r="D1" s="295"/>
      <c r="E1" s="295"/>
      <c r="F1" s="295"/>
    </row>
    <row r="2" spans="1:6" s="19" customFormat="1" ht="19.5" customHeight="1">
      <c r="A2" s="294" t="s">
        <v>342</v>
      </c>
      <c r="B2" s="295"/>
      <c r="C2" s="295"/>
      <c r="D2" s="295"/>
      <c r="E2" s="295"/>
      <c r="F2" s="295"/>
    </row>
    <row r="3" spans="1:7" ht="22.5" customHeight="1">
      <c r="A3" s="296" t="s">
        <v>419</v>
      </c>
      <c r="B3" s="264"/>
      <c r="C3" s="264"/>
      <c r="D3" s="264"/>
      <c r="E3" s="264"/>
      <c r="F3" s="264"/>
      <c r="G3" s="25"/>
    </row>
    <row r="4" spans="3:6" ht="20.25" customHeight="1">
      <c r="C4" s="238" t="s">
        <v>186</v>
      </c>
      <c r="D4" s="238"/>
      <c r="E4" s="238"/>
      <c r="F4" s="238"/>
    </row>
    <row r="5" spans="1:7" s="19" customFormat="1" ht="15.75" customHeight="1">
      <c r="A5" s="281" t="s">
        <v>0</v>
      </c>
      <c r="B5" s="281" t="s">
        <v>165</v>
      </c>
      <c r="C5" s="281" t="s">
        <v>427</v>
      </c>
      <c r="D5" s="281" t="s">
        <v>341</v>
      </c>
      <c r="E5" s="281" t="s">
        <v>181</v>
      </c>
      <c r="F5" s="281" t="s">
        <v>182</v>
      </c>
      <c r="G5" s="24"/>
    </row>
    <row r="6" spans="1:7" s="19" customFormat="1" ht="15" customHeight="1">
      <c r="A6" s="282"/>
      <c r="B6" s="282"/>
      <c r="C6" s="282"/>
      <c r="D6" s="282"/>
      <c r="E6" s="282"/>
      <c r="F6" s="281"/>
      <c r="G6" s="24"/>
    </row>
    <row r="7" spans="1:6" s="19" customFormat="1" ht="24.75" customHeight="1">
      <c r="A7" s="282"/>
      <c r="B7" s="282"/>
      <c r="C7" s="282"/>
      <c r="D7" s="282"/>
      <c r="E7" s="282"/>
      <c r="F7" s="281"/>
    </row>
    <row r="8" spans="1:8" s="19" customFormat="1" ht="21.75" customHeight="1">
      <c r="A8" s="101"/>
      <c r="B8" s="98" t="s">
        <v>420</v>
      </c>
      <c r="C8" s="260">
        <v>319494000</v>
      </c>
      <c r="D8" s="260">
        <v>322951000</v>
      </c>
      <c r="E8" s="260">
        <v>3457000</v>
      </c>
      <c r="F8" s="270">
        <v>101.08202344957964</v>
      </c>
      <c r="G8" s="26"/>
      <c r="H8" s="91"/>
    </row>
    <row r="9" spans="1:8" s="19" customFormat="1" ht="19.5" customHeight="1">
      <c r="A9" s="98" t="s">
        <v>27</v>
      </c>
      <c r="B9" s="102" t="s">
        <v>170</v>
      </c>
      <c r="C9" s="260">
        <v>24000000</v>
      </c>
      <c r="D9" s="260">
        <v>26500000</v>
      </c>
      <c r="E9" s="260">
        <v>2500000</v>
      </c>
      <c r="F9" s="260">
        <v>110.41666666666667</v>
      </c>
      <c r="G9" s="91"/>
      <c r="H9" s="33"/>
    </row>
    <row r="10" spans="1:7" s="19" customFormat="1" ht="19.5" customHeight="1">
      <c r="A10" s="103">
        <v>1</v>
      </c>
      <c r="B10" s="104" t="s">
        <v>150</v>
      </c>
      <c r="C10" s="261">
        <v>200000</v>
      </c>
      <c r="D10" s="261">
        <v>500000</v>
      </c>
      <c r="E10" s="261">
        <v>300000</v>
      </c>
      <c r="F10" s="261">
        <v>250</v>
      </c>
      <c r="G10" s="32"/>
    </row>
    <row r="11" spans="1:7" s="19" customFormat="1" ht="19.5" customHeight="1">
      <c r="A11" s="103">
        <v>2</v>
      </c>
      <c r="B11" s="104" t="s">
        <v>171</v>
      </c>
      <c r="C11" s="269">
        <v>150000</v>
      </c>
      <c r="D11" s="261">
        <v>150000</v>
      </c>
      <c r="E11" s="261">
        <v>0</v>
      </c>
      <c r="F11" s="260"/>
      <c r="G11" s="92"/>
    </row>
    <row r="12" spans="1:7" s="19" customFormat="1" ht="19.5" customHeight="1">
      <c r="A12" s="103">
        <v>3</v>
      </c>
      <c r="B12" s="104" t="s">
        <v>172</v>
      </c>
      <c r="C12" s="261">
        <v>17300000</v>
      </c>
      <c r="D12" s="261">
        <v>18000000</v>
      </c>
      <c r="E12" s="261">
        <v>700000</v>
      </c>
      <c r="F12" s="261">
        <v>104.04624277456647</v>
      </c>
      <c r="G12" s="32"/>
    </row>
    <row r="13" spans="1:6" s="110" customFormat="1" ht="19.5" customHeight="1">
      <c r="A13" s="106"/>
      <c r="B13" s="104" t="s">
        <v>152</v>
      </c>
      <c r="C13" s="266"/>
      <c r="D13" s="261">
        <v>120000</v>
      </c>
      <c r="E13" s="262"/>
      <c r="F13" s="268"/>
    </row>
    <row r="14" spans="1:6" s="110" customFormat="1" ht="19.5" customHeight="1">
      <c r="A14" s="106"/>
      <c r="B14" s="104" t="s">
        <v>153</v>
      </c>
      <c r="C14" s="266"/>
      <c r="D14" s="261">
        <v>0</v>
      </c>
      <c r="E14" s="262"/>
      <c r="F14" s="268"/>
    </row>
    <row r="15" spans="1:6" s="110" customFormat="1" ht="19.5" customHeight="1">
      <c r="A15" s="106"/>
      <c r="B15" s="104" t="s">
        <v>173</v>
      </c>
      <c r="C15" s="266"/>
      <c r="D15" s="261">
        <v>10235000</v>
      </c>
      <c r="E15" s="262"/>
      <c r="F15" s="262"/>
    </row>
    <row r="16" spans="1:6" s="110" customFormat="1" ht="19.5" customHeight="1">
      <c r="A16" s="106"/>
      <c r="B16" s="104" t="s">
        <v>155</v>
      </c>
      <c r="C16" s="266"/>
      <c r="D16" s="261">
        <v>7595000</v>
      </c>
      <c r="E16" s="262"/>
      <c r="F16" s="262"/>
    </row>
    <row r="17" spans="1:6" s="110" customFormat="1" ht="19.5" customHeight="1">
      <c r="A17" s="106"/>
      <c r="B17" s="104" t="s">
        <v>156</v>
      </c>
      <c r="C17" s="266"/>
      <c r="D17" s="261">
        <v>50000</v>
      </c>
      <c r="E17" s="262"/>
      <c r="F17" s="262"/>
    </row>
    <row r="18" spans="1:6" ht="19.5" customHeight="1">
      <c r="A18" s="103">
        <v>4</v>
      </c>
      <c r="B18" s="104" t="s">
        <v>157</v>
      </c>
      <c r="C18" s="267">
        <v>700000</v>
      </c>
      <c r="D18" s="261">
        <v>700000</v>
      </c>
      <c r="E18" s="261">
        <v>0</v>
      </c>
      <c r="F18" s="261">
        <v>100</v>
      </c>
    </row>
    <row r="19" spans="1:6" ht="19.5" customHeight="1">
      <c r="A19" s="103">
        <v>5</v>
      </c>
      <c r="B19" s="104" t="s">
        <v>174</v>
      </c>
      <c r="C19" s="261">
        <v>2000000</v>
      </c>
      <c r="D19" s="261">
        <v>3000000</v>
      </c>
      <c r="E19" s="261">
        <v>1000000</v>
      </c>
      <c r="F19" s="261">
        <v>150</v>
      </c>
    </row>
    <row r="20" spans="1:6" ht="19.5" customHeight="1">
      <c r="A20" s="103">
        <v>6</v>
      </c>
      <c r="B20" s="104" t="s">
        <v>183</v>
      </c>
      <c r="C20" s="261"/>
      <c r="D20" s="261">
        <v>0</v>
      </c>
      <c r="E20" s="261">
        <v>0</v>
      </c>
      <c r="F20" s="261"/>
    </row>
    <row r="21" spans="1:6" ht="19.5" customHeight="1">
      <c r="A21" s="103">
        <v>7</v>
      </c>
      <c r="B21" s="104" t="s">
        <v>159</v>
      </c>
      <c r="C21" s="261">
        <v>10000</v>
      </c>
      <c r="D21" s="261">
        <v>210000</v>
      </c>
      <c r="E21" s="261">
        <v>200000</v>
      </c>
      <c r="F21" s="261">
        <v>2100</v>
      </c>
    </row>
    <row r="22" spans="1:6" ht="19.5" customHeight="1">
      <c r="A22" s="103">
        <v>8</v>
      </c>
      <c r="B22" s="104" t="s">
        <v>175</v>
      </c>
      <c r="C22" s="261">
        <v>340000</v>
      </c>
      <c r="D22" s="261">
        <v>340000</v>
      </c>
      <c r="E22" s="261">
        <v>0</v>
      </c>
      <c r="F22" s="261">
        <v>100</v>
      </c>
    </row>
    <row r="23" spans="1:6" ht="19.5" customHeight="1">
      <c r="A23" s="103">
        <v>9</v>
      </c>
      <c r="B23" s="104" t="s">
        <v>161</v>
      </c>
      <c r="C23" s="267">
        <v>1100000</v>
      </c>
      <c r="D23" s="261">
        <v>1100000</v>
      </c>
      <c r="E23" s="261">
        <v>0</v>
      </c>
      <c r="F23" s="261">
        <v>100</v>
      </c>
    </row>
    <row r="24" spans="1:6" ht="19.5" customHeight="1">
      <c r="A24" s="103">
        <v>10</v>
      </c>
      <c r="B24" s="104" t="s">
        <v>162</v>
      </c>
      <c r="C24" s="267">
        <v>200000</v>
      </c>
      <c r="D24" s="261">
        <v>200000</v>
      </c>
      <c r="E24" s="261">
        <v>0</v>
      </c>
      <c r="F24" s="261">
        <v>100</v>
      </c>
    </row>
    <row r="25" spans="1:6" ht="19.5" customHeight="1">
      <c r="A25" s="103">
        <v>11</v>
      </c>
      <c r="B25" s="104" t="s">
        <v>148</v>
      </c>
      <c r="C25" s="261">
        <v>2000000</v>
      </c>
      <c r="D25" s="261">
        <v>2300000</v>
      </c>
      <c r="E25" s="261">
        <v>300000</v>
      </c>
      <c r="F25" s="261">
        <v>115</v>
      </c>
    </row>
    <row r="26" spans="1:6" s="110" customFormat="1" ht="19.5" customHeight="1">
      <c r="A26" s="103"/>
      <c r="B26" s="104" t="s">
        <v>184</v>
      </c>
      <c r="C26" s="262"/>
      <c r="D26" s="262"/>
      <c r="E26" s="261">
        <v>0</v>
      </c>
      <c r="F26" s="261"/>
    </row>
    <row r="27" spans="1:6" ht="19.5" customHeight="1">
      <c r="A27" s="103">
        <v>12</v>
      </c>
      <c r="B27" s="104" t="s">
        <v>163</v>
      </c>
      <c r="C27" s="261"/>
      <c r="D27" s="261">
        <v>0</v>
      </c>
      <c r="E27" s="261">
        <v>0</v>
      </c>
      <c r="F27" s="261"/>
    </row>
    <row r="28" spans="1:6" s="19" customFormat="1" ht="36.75" customHeight="1">
      <c r="A28" s="98" t="s">
        <v>31</v>
      </c>
      <c r="B28" s="105" t="s">
        <v>383</v>
      </c>
      <c r="C28" s="260"/>
      <c r="D28" s="260"/>
      <c r="E28" s="263">
        <v>0</v>
      </c>
      <c r="F28" s="260"/>
    </row>
    <row r="29" spans="1:7" s="19" customFormat="1" ht="19.5" customHeight="1">
      <c r="A29" s="98" t="s">
        <v>44</v>
      </c>
      <c r="B29" s="102" t="s">
        <v>176</v>
      </c>
      <c r="C29" s="263">
        <v>0</v>
      </c>
      <c r="D29" s="263">
        <v>957000</v>
      </c>
      <c r="E29" s="263">
        <v>957000</v>
      </c>
      <c r="F29" s="260"/>
      <c r="G29" s="20"/>
    </row>
    <row r="30" spans="1:6" s="19" customFormat="1" ht="19.5" customHeight="1">
      <c r="A30" s="103">
        <v>1</v>
      </c>
      <c r="B30" s="104" t="s">
        <v>81</v>
      </c>
      <c r="C30" s="267"/>
      <c r="D30" s="267">
        <v>1000</v>
      </c>
      <c r="E30" s="267">
        <v>1000</v>
      </c>
      <c r="F30" s="261"/>
    </row>
    <row r="31" spans="1:6" s="19" customFormat="1" ht="19.5" customHeight="1">
      <c r="A31" s="103">
        <v>2</v>
      </c>
      <c r="B31" s="104" t="s">
        <v>422</v>
      </c>
      <c r="C31" s="266"/>
      <c r="D31" s="113">
        <v>50000</v>
      </c>
      <c r="E31" s="113">
        <v>50000</v>
      </c>
      <c r="F31" s="261"/>
    </row>
    <row r="32" spans="1:6" s="19" customFormat="1" ht="19.5" customHeight="1">
      <c r="A32" s="103">
        <v>3</v>
      </c>
      <c r="B32" s="104" t="s">
        <v>426</v>
      </c>
      <c r="C32" s="263"/>
      <c r="D32" s="261">
        <v>270000</v>
      </c>
      <c r="E32" s="261">
        <v>270000</v>
      </c>
      <c r="F32" s="261"/>
    </row>
    <row r="33" spans="1:6" s="19" customFormat="1" ht="19.5" customHeight="1">
      <c r="A33" s="103">
        <v>4</v>
      </c>
      <c r="B33" s="104" t="s">
        <v>424</v>
      </c>
      <c r="C33" s="263"/>
      <c r="D33" s="267">
        <v>100000</v>
      </c>
      <c r="E33" s="261">
        <v>100000</v>
      </c>
      <c r="F33" s="261"/>
    </row>
    <row r="34" spans="1:6" s="19" customFormat="1" ht="19.5" customHeight="1">
      <c r="A34" s="103">
        <v>5</v>
      </c>
      <c r="B34" s="104" t="s">
        <v>425</v>
      </c>
      <c r="C34" s="267"/>
      <c r="D34" s="261">
        <v>110000</v>
      </c>
      <c r="E34" s="261">
        <v>110000</v>
      </c>
      <c r="F34" s="261"/>
    </row>
    <row r="35" spans="1:6" s="19" customFormat="1" ht="19.5" customHeight="1">
      <c r="A35" s="103">
        <v>6</v>
      </c>
      <c r="B35" s="104" t="s">
        <v>140</v>
      </c>
      <c r="C35" s="263"/>
      <c r="D35" s="267">
        <v>426000</v>
      </c>
      <c r="E35" s="261">
        <v>426000</v>
      </c>
      <c r="F35" s="261"/>
    </row>
    <row r="36" spans="1:7" s="19" customFormat="1" ht="19.5" customHeight="1">
      <c r="A36" s="98" t="s">
        <v>46</v>
      </c>
      <c r="B36" s="102" t="s">
        <v>177</v>
      </c>
      <c r="C36" s="260">
        <v>295494000</v>
      </c>
      <c r="D36" s="260">
        <v>295494000</v>
      </c>
      <c r="E36" s="260"/>
      <c r="F36" s="260"/>
      <c r="G36" s="26"/>
    </row>
    <row r="37" spans="1:7" ht="19.5" customHeight="1">
      <c r="A37" s="106">
        <v>1</v>
      </c>
      <c r="B37" s="104" t="s">
        <v>178</v>
      </c>
      <c r="C37" s="261">
        <v>294275000</v>
      </c>
      <c r="D37" s="261">
        <v>294275000</v>
      </c>
      <c r="E37" s="261"/>
      <c r="F37" s="261"/>
      <c r="G37" s="34"/>
    </row>
    <row r="38" spans="1:7" ht="19.5" customHeight="1">
      <c r="A38" s="106">
        <v>2</v>
      </c>
      <c r="B38" s="104" t="s">
        <v>185</v>
      </c>
      <c r="C38" s="261">
        <v>1219000</v>
      </c>
      <c r="D38" s="261">
        <v>1219000</v>
      </c>
      <c r="E38" s="261"/>
      <c r="F38" s="261"/>
      <c r="G38" s="34"/>
    </row>
    <row r="39" spans="1:6" ht="19.5" customHeight="1">
      <c r="A39" s="106">
        <v>3</v>
      </c>
      <c r="B39" s="104" t="s">
        <v>180</v>
      </c>
      <c r="C39" s="261">
        <v>0</v>
      </c>
      <c r="D39" s="261"/>
      <c r="E39" s="261"/>
      <c r="F39" s="261"/>
    </row>
    <row r="40" ht="9" customHeight="1"/>
    <row r="41" spans="2:7" s="19" customFormat="1" ht="15.75">
      <c r="B41" s="29"/>
      <c r="C41" s="86"/>
      <c r="D41" s="289"/>
      <c r="E41" s="289"/>
      <c r="F41" s="289"/>
      <c r="G41" s="26"/>
    </row>
    <row r="42" spans="1:7" s="19" customFormat="1" ht="15.75">
      <c r="A42" s="291"/>
      <c r="B42" s="292"/>
      <c r="C42" s="30"/>
      <c r="D42" s="291"/>
      <c r="E42" s="291"/>
      <c r="F42" s="291"/>
      <c r="G42" s="26"/>
    </row>
    <row r="43" spans="1:7" s="19" customFormat="1" ht="15.75">
      <c r="A43" s="291"/>
      <c r="B43" s="292"/>
      <c r="C43" s="30"/>
      <c r="D43" s="291"/>
      <c r="E43" s="291"/>
      <c r="F43" s="291"/>
      <c r="G43" s="26"/>
    </row>
    <row r="44" s="19" customFormat="1" ht="15.75">
      <c r="G44" s="26"/>
    </row>
    <row r="45" s="19" customFormat="1" ht="15.75">
      <c r="G45" s="26"/>
    </row>
    <row r="46" s="19" customFormat="1" ht="15.75">
      <c r="G46" s="20"/>
    </row>
    <row r="47" s="19" customFormat="1" ht="15.75">
      <c r="G47" s="20"/>
    </row>
    <row r="48" s="19" customFormat="1" ht="15.75"/>
    <row r="49" spans="2:6" s="19" customFormat="1" ht="15.75">
      <c r="B49" s="35"/>
      <c r="D49" s="287"/>
      <c r="E49" s="287"/>
      <c r="F49" s="287"/>
    </row>
  </sheetData>
  <sheetProtection/>
  <mergeCells count="16">
    <mergeCell ref="D49:F49"/>
    <mergeCell ref="D41:F41"/>
    <mergeCell ref="A42:B42"/>
    <mergeCell ref="D42:F42"/>
    <mergeCell ref="A43:B43"/>
    <mergeCell ref="D43:F43"/>
    <mergeCell ref="A1:F1"/>
    <mergeCell ref="A2:F2"/>
    <mergeCell ref="A3:F3"/>
    <mergeCell ref="A5:A7"/>
    <mergeCell ref="B5:B7"/>
    <mergeCell ref="C5:C7"/>
    <mergeCell ref="D5:D7"/>
    <mergeCell ref="E5:E7"/>
    <mergeCell ref="F5:F7"/>
    <mergeCell ref="C4:F4"/>
  </mergeCells>
  <printOptions/>
  <pageMargins left="0.75" right="0.21" top="0.4" bottom="0.17" header="0.44"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40"/>
  <sheetViews>
    <sheetView zoomScalePageLayoutView="0" workbookViewId="0" topLeftCell="A1">
      <selection activeCell="C11" sqref="C11"/>
    </sheetView>
  </sheetViews>
  <sheetFormatPr defaultColWidth="9.00390625" defaultRowHeight="15.75"/>
  <cols>
    <col min="1" max="1" width="6.00390625" style="5" customWidth="1"/>
    <col min="2" max="2" width="26.875" style="5" customWidth="1"/>
    <col min="3" max="3" width="14.75390625" style="5" customWidth="1"/>
    <col min="4" max="4" width="12.625" style="5" customWidth="1"/>
    <col min="5" max="5" width="10.00390625" style="5" customWidth="1"/>
    <col min="6" max="6" width="9.625" style="5" customWidth="1"/>
    <col min="7" max="7" width="10.375" style="5" customWidth="1"/>
    <col min="8" max="9" width="10.00390625" style="5" customWidth="1"/>
    <col min="10" max="10" width="11.25390625" style="5" customWidth="1"/>
    <col min="11" max="11" width="9.625" style="5" customWidth="1"/>
    <col min="12" max="12" width="13.625" style="5" customWidth="1"/>
    <col min="13" max="13" width="13.125" style="5" customWidth="1"/>
    <col min="14" max="14" width="14.75390625" style="5" customWidth="1"/>
    <col min="15" max="15" width="13.875" style="5" customWidth="1"/>
    <col min="16" max="16384" width="9.00390625" style="5" customWidth="1"/>
  </cols>
  <sheetData>
    <row r="1" spans="1:13" s="19" customFormat="1" ht="20.25" customHeight="1">
      <c r="A1" s="294" t="s">
        <v>430</v>
      </c>
      <c r="B1" s="295"/>
      <c r="C1" s="295"/>
      <c r="D1" s="295"/>
      <c r="E1" s="295"/>
      <c r="F1" s="295"/>
      <c r="G1" s="295"/>
      <c r="H1" s="295"/>
      <c r="I1" s="295"/>
      <c r="J1" s="295"/>
      <c r="K1" s="295"/>
      <c r="L1" s="295"/>
      <c r="M1" s="295"/>
    </row>
    <row r="2" spans="1:13" s="19" customFormat="1" ht="20.25" customHeight="1">
      <c r="A2" s="294" t="s">
        <v>343</v>
      </c>
      <c r="B2" s="295"/>
      <c r="C2" s="295"/>
      <c r="D2" s="295"/>
      <c r="E2" s="295"/>
      <c r="F2" s="295"/>
      <c r="G2" s="295"/>
      <c r="H2" s="295"/>
      <c r="I2" s="295"/>
      <c r="J2" s="295"/>
      <c r="K2" s="295"/>
      <c r="L2" s="295"/>
      <c r="M2" s="295"/>
    </row>
    <row r="3" spans="1:13" s="19" customFormat="1" ht="24" customHeight="1" hidden="1">
      <c r="A3" s="239" t="s">
        <v>306</v>
      </c>
      <c r="B3" s="239"/>
      <c r="C3" s="239"/>
      <c r="D3" s="239"/>
      <c r="E3" s="239"/>
      <c r="F3" s="239"/>
      <c r="G3" s="239"/>
      <c r="H3" s="239"/>
      <c r="I3" s="239"/>
      <c r="J3" s="239"/>
      <c r="K3" s="239"/>
      <c r="L3" s="239"/>
      <c r="M3" s="239"/>
    </row>
    <row r="4" spans="1:13" ht="22.5" customHeight="1">
      <c r="A4" s="240" t="s">
        <v>419</v>
      </c>
      <c r="B4" s="240"/>
      <c r="C4" s="240"/>
      <c r="D4" s="240"/>
      <c r="E4" s="240"/>
      <c r="F4" s="240"/>
      <c r="G4" s="240"/>
      <c r="H4" s="240"/>
      <c r="I4" s="240"/>
      <c r="J4" s="240"/>
      <c r="K4" s="240"/>
      <c r="L4" s="240"/>
      <c r="M4" s="240"/>
    </row>
    <row r="5" spans="1:13" ht="22.5" customHeight="1" hidden="1">
      <c r="A5" s="239" t="s">
        <v>144</v>
      </c>
      <c r="B5" s="239"/>
      <c r="C5" s="239"/>
      <c r="D5" s="239"/>
      <c r="E5" s="239"/>
      <c r="F5" s="239"/>
      <c r="G5" s="239"/>
      <c r="H5" s="239"/>
      <c r="I5" s="239"/>
      <c r="J5" s="239"/>
      <c r="K5" s="239"/>
      <c r="L5" s="239"/>
      <c r="M5" s="239"/>
    </row>
    <row r="6" spans="2:13" s="19" customFormat="1" ht="21" customHeight="1">
      <c r="B6" s="20"/>
      <c r="F6" s="21"/>
      <c r="K6" s="183" t="s">
        <v>429</v>
      </c>
      <c r="L6" s="183"/>
      <c r="M6" s="183"/>
    </row>
    <row r="7" spans="1:13" s="19" customFormat="1" ht="19.5" customHeight="1">
      <c r="A7" s="281" t="s">
        <v>0</v>
      </c>
      <c r="B7" s="281" t="s">
        <v>146</v>
      </c>
      <c r="C7" s="281" t="s">
        <v>147</v>
      </c>
      <c r="D7" s="281" t="s">
        <v>1</v>
      </c>
      <c r="E7" s="282"/>
      <c r="F7" s="282"/>
      <c r="G7" s="282"/>
      <c r="H7" s="282"/>
      <c r="I7" s="282"/>
      <c r="J7" s="282"/>
      <c r="K7" s="282"/>
      <c r="L7" s="282"/>
      <c r="M7" s="281" t="s">
        <v>148</v>
      </c>
    </row>
    <row r="8" spans="1:13" s="19" customFormat="1" ht="33.75" customHeight="1">
      <c r="A8" s="282"/>
      <c r="B8" s="282"/>
      <c r="C8" s="282"/>
      <c r="D8" s="100" t="s">
        <v>228</v>
      </c>
      <c r="E8" s="100" t="s">
        <v>229</v>
      </c>
      <c r="F8" s="100" t="s">
        <v>230</v>
      </c>
      <c r="G8" s="100" t="s">
        <v>231</v>
      </c>
      <c r="H8" s="100" t="s">
        <v>232</v>
      </c>
      <c r="I8" s="100" t="s">
        <v>233</v>
      </c>
      <c r="J8" s="100" t="s">
        <v>234</v>
      </c>
      <c r="K8" s="100" t="s">
        <v>197</v>
      </c>
      <c r="L8" s="100" t="s">
        <v>149</v>
      </c>
      <c r="M8" s="282"/>
    </row>
    <row r="9" spans="1:13" ht="22.5" customHeight="1">
      <c r="A9" s="106">
        <v>1</v>
      </c>
      <c r="B9" s="104" t="s">
        <v>150</v>
      </c>
      <c r="C9" s="271">
        <v>500000</v>
      </c>
      <c r="D9" s="272">
        <v>0</v>
      </c>
      <c r="E9" s="272">
        <v>0</v>
      </c>
      <c r="F9" s="272">
        <v>0</v>
      </c>
      <c r="G9" s="272">
        <v>0</v>
      </c>
      <c r="H9" s="272">
        <v>0</v>
      </c>
      <c r="I9" s="272">
        <v>0</v>
      </c>
      <c r="J9" s="272">
        <v>0</v>
      </c>
      <c r="K9" s="272">
        <v>0</v>
      </c>
      <c r="L9" s="267">
        <v>500000</v>
      </c>
      <c r="M9" s="272"/>
    </row>
    <row r="10" spans="1:13" ht="22.5" customHeight="1">
      <c r="A10" s="106">
        <v>2</v>
      </c>
      <c r="B10" s="104" t="s">
        <v>151</v>
      </c>
      <c r="C10" s="271">
        <v>150000</v>
      </c>
      <c r="D10" s="272">
        <v>0</v>
      </c>
      <c r="E10" s="272">
        <v>0</v>
      </c>
      <c r="F10" s="272">
        <v>0</v>
      </c>
      <c r="G10" s="272">
        <v>0</v>
      </c>
      <c r="H10" s="272">
        <v>0</v>
      </c>
      <c r="I10" s="272">
        <v>0</v>
      </c>
      <c r="J10" s="272">
        <v>0</v>
      </c>
      <c r="K10" s="272">
        <v>0</v>
      </c>
      <c r="L10" s="267">
        <v>150000</v>
      </c>
      <c r="M10" s="272"/>
    </row>
    <row r="11" spans="1:14" ht="22.5" customHeight="1">
      <c r="A11" s="106">
        <v>3</v>
      </c>
      <c r="B11" s="104" t="s">
        <v>431</v>
      </c>
      <c r="C11" s="267">
        <v>18000000</v>
      </c>
      <c r="D11" s="267">
        <v>590000</v>
      </c>
      <c r="E11" s="267">
        <v>10000</v>
      </c>
      <c r="F11" s="267">
        <v>10000</v>
      </c>
      <c r="G11" s="267">
        <v>30000</v>
      </c>
      <c r="H11" s="267">
        <v>10000</v>
      </c>
      <c r="I11" s="267">
        <v>20000</v>
      </c>
      <c r="J11" s="267">
        <v>30000</v>
      </c>
      <c r="K11" s="267">
        <v>10000</v>
      </c>
      <c r="L11" s="267">
        <v>17290000</v>
      </c>
      <c r="M11" s="267"/>
      <c r="N11" s="9"/>
    </row>
    <row r="12" spans="1:14" s="110" customFormat="1" ht="22.5" customHeight="1">
      <c r="A12" s="106"/>
      <c r="B12" s="104" t="s">
        <v>152</v>
      </c>
      <c r="C12" s="271">
        <v>120000</v>
      </c>
      <c r="D12" s="267">
        <v>80000</v>
      </c>
      <c r="E12" s="267">
        <v>2000</v>
      </c>
      <c r="F12" s="267">
        <v>1000</v>
      </c>
      <c r="G12" s="267">
        <v>5000</v>
      </c>
      <c r="H12" s="267">
        <v>1000</v>
      </c>
      <c r="I12" s="267">
        <v>5000</v>
      </c>
      <c r="J12" s="267">
        <v>5000</v>
      </c>
      <c r="K12" s="267">
        <v>1000</v>
      </c>
      <c r="L12" s="267">
        <v>20000</v>
      </c>
      <c r="M12" s="267"/>
      <c r="N12" s="119"/>
    </row>
    <row r="13" spans="1:14" s="110" customFormat="1" ht="22.5" customHeight="1">
      <c r="A13" s="106"/>
      <c r="B13" s="104" t="s">
        <v>153</v>
      </c>
      <c r="C13" s="271">
        <v>0</v>
      </c>
      <c r="D13" s="267">
        <v>0</v>
      </c>
      <c r="E13" s="267">
        <v>0</v>
      </c>
      <c r="F13" s="267">
        <v>0</v>
      </c>
      <c r="G13" s="267">
        <v>0</v>
      </c>
      <c r="H13" s="267">
        <v>0</v>
      </c>
      <c r="I13" s="267">
        <v>0</v>
      </c>
      <c r="J13" s="267">
        <v>0</v>
      </c>
      <c r="K13" s="267">
        <v>0</v>
      </c>
      <c r="L13" s="267"/>
      <c r="M13" s="267"/>
      <c r="N13" s="119"/>
    </row>
    <row r="14" spans="1:15" s="110" customFormat="1" ht="22.5" customHeight="1">
      <c r="A14" s="106"/>
      <c r="B14" s="120" t="s">
        <v>154</v>
      </c>
      <c r="C14" s="271">
        <v>10235000</v>
      </c>
      <c r="D14" s="267">
        <v>500000</v>
      </c>
      <c r="E14" s="267">
        <v>0</v>
      </c>
      <c r="F14" s="267">
        <v>0</v>
      </c>
      <c r="G14" s="267">
        <v>5000</v>
      </c>
      <c r="H14" s="267">
        <v>0</v>
      </c>
      <c r="I14" s="267">
        <v>5000</v>
      </c>
      <c r="J14" s="267">
        <v>5000</v>
      </c>
      <c r="K14" s="267">
        <v>0</v>
      </c>
      <c r="L14" s="267">
        <v>9720000</v>
      </c>
      <c r="M14" s="267"/>
      <c r="N14" s="119"/>
      <c r="O14" s="119"/>
    </row>
    <row r="15" spans="1:15" s="110" customFormat="1" ht="22.5" customHeight="1">
      <c r="A15" s="106"/>
      <c r="B15" s="104" t="s">
        <v>155</v>
      </c>
      <c r="C15" s="271">
        <v>7595000</v>
      </c>
      <c r="D15" s="267">
        <v>10000</v>
      </c>
      <c r="E15" s="267">
        <v>8000</v>
      </c>
      <c r="F15" s="267">
        <v>9000</v>
      </c>
      <c r="G15" s="267">
        <v>20000</v>
      </c>
      <c r="H15" s="267">
        <v>9000</v>
      </c>
      <c r="I15" s="267">
        <v>10000</v>
      </c>
      <c r="J15" s="267">
        <v>20000</v>
      </c>
      <c r="K15" s="267">
        <v>9000</v>
      </c>
      <c r="L15" s="267">
        <v>7500000</v>
      </c>
      <c r="M15" s="267"/>
      <c r="N15" s="119"/>
      <c r="O15" s="119"/>
    </row>
    <row r="16" spans="1:14" s="110" customFormat="1" ht="22.5" customHeight="1">
      <c r="A16" s="106"/>
      <c r="B16" s="104" t="s">
        <v>156</v>
      </c>
      <c r="C16" s="271">
        <v>50000</v>
      </c>
      <c r="D16" s="267">
        <v>0</v>
      </c>
      <c r="E16" s="267">
        <v>0</v>
      </c>
      <c r="F16" s="267">
        <v>0</v>
      </c>
      <c r="G16" s="267">
        <v>0</v>
      </c>
      <c r="H16" s="267">
        <v>0</v>
      </c>
      <c r="I16" s="267">
        <v>0</v>
      </c>
      <c r="J16" s="267">
        <v>0</v>
      </c>
      <c r="K16" s="267">
        <v>0</v>
      </c>
      <c r="L16" s="267">
        <v>50000</v>
      </c>
      <c r="M16" s="267"/>
      <c r="N16" s="119"/>
    </row>
    <row r="17" spans="1:14" ht="22.5" customHeight="1">
      <c r="A17" s="106">
        <v>4</v>
      </c>
      <c r="B17" s="104" t="s">
        <v>157</v>
      </c>
      <c r="C17" s="271">
        <v>700000</v>
      </c>
      <c r="D17" s="267">
        <v>200000</v>
      </c>
      <c r="E17" s="267">
        <v>0</v>
      </c>
      <c r="F17" s="267">
        <v>0</v>
      </c>
      <c r="G17" s="267">
        <v>0</v>
      </c>
      <c r="H17" s="267">
        <v>0</v>
      </c>
      <c r="I17" s="267">
        <v>0</v>
      </c>
      <c r="J17" s="267">
        <v>0</v>
      </c>
      <c r="K17" s="267">
        <v>0</v>
      </c>
      <c r="L17" s="267">
        <v>500000</v>
      </c>
      <c r="M17" s="267"/>
      <c r="N17" s="9"/>
    </row>
    <row r="18" spans="1:14" ht="22.5" customHeight="1">
      <c r="A18" s="106">
        <v>5</v>
      </c>
      <c r="B18" s="104" t="s">
        <v>158</v>
      </c>
      <c r="C18" s="271">
        <v>3000000</v>
      </c>
      <c r="D18" s="267">
        <v>0</v>
      </c>
      <c r="E18" s="267">
        <v>0</v>
      </c>
      <c r="F18" s="267">
        <v>0</v>
      </c>
      <c r="G18" s="267">
        <v>0</v>
      </c>
      <c r="H18" s="267">
        <v>0</v>
      </c>
      <c r="I18" s="267">
        <v>0</v>
      </c>
      <c r="J18" s="267">
        <v>0</v>
      </c>
      <c r="K18" s="267">
        <v>0</v>
      </c>
      <c r="L18" s="267">
        <v>3000000</v>
      </c>
      <c r="M18" s="267"/>
      <c r="N18" s="9"/>
    </row>
    <row r="19" spans="1:14" ht="22.5" customHeight="1">
      <c r="A19" s="106">
        <v>6</v>
      </c>
      <c r="B19" s="104" t="s">
        <v>183</v>
      </c>
      <c r="C19" s="271">
        <v>0</v>
      </c>
      <c r="D19" s="267">
        <v>0</v>
      </c>
      <c r="E19" s="267">
        <v>0</v>
      </c>
      <c r="F19" s="267">
        <v>0</v>
      </c>
      <c r="G19" s="267">
        <v>0</v>
      </c>
      <c r="H19" s="267">
        <v>0</v>
      </c>
      <c r="I19" s="267">
        <v>0</v>
      </c>
      <c r="J19" s="267">
        <v>0</v>
      </c>
      <c r="K19" s="267">
        <v>0</v>
      </c>
      <c r="L19" s="267"/>
      <c r="M19" s="267"/>
      <c r="N19" s="9"/>
    </row>
    <row r="20" spans="1:14" ht="22.5" customHeight="1">
      <c r="A20" s="106">
        <v>7</v>
      </c>
      <c r="B20" s="104" t="s">
        <v>305</v>
      </c>
      <c r="C20" s="271">
        <v>210000</v>
      </c>
      <c r="D20" s="267">
        <v>0</v>
      </c>
      <c r="E20" s="267">
        <v>0</v>
      </c>
      <c r="F20" s="267">
        <v>0</v>
      </c>
      <c r="G20" s="267">
        <v>0</v>
      </c>
      <c r="H20" s="267">
        <v>0</v>
      </c>
      <c r="I20" s="267">
        <v>0</v>
      </c>
      <c r="J20" s="267">
        <v>0</v>
      </c>
      <c r="K20" s="267">
        <v>0</v>
      </c>
      <c r="L20" s="267">
        <v>210000</v>
      </c>
      <c r="M20" s="267"/>
      <c r="N20" s="9"/>
    </row>
    <row r="21" spans="1:14" ht="22.5" customHeight="1">
      <c r="A21" s="106">
        <v>8</v>
      </c>
      <c r="B21" s="104" t="s">
        <v>160</v>
      </c>
      <c r="C21" s="271">
        <v>340000</v>
      </c>
      <c r="D21" s="267">
        <v>100000</v>
      </c>
      <c r="E21" s="267">
        <v>20000</v>
      </c>
      <c r="F21" s="267">
        <v>5000</v>
      </c>
      <c r="G21" s="267">
        <v>20000</v>
      </c>
      <c r="H21" s="267">
        <v>5000</v>
      </c>
      <c r="I21" s="267">
        <v>20000</v>
      </c>
      <c r="J21" s="267">
        <v>70000</v>
      </c>
      <c r="K21" s="267">
        <v>10000</v>
      </c>
      <c r="L21" s="267">
        <v>90000</v>
      </c>
      <c r="M21" s="267"/>
      <c r="N21" s="9"/>
    </row>
    <row r="22" spans="1:14" ht="22.5" customHeight="1">
      <c r="A22" s="106">
        <v>9</v>
      </c>
      <c r="B22" s="104" t="s">
        <v>161</v>
      </c>
      <c r="C22" s="273" t="s">
        <v>640</v>
      </c>
      <c r="D22" s="267">
        <v>0</v>
      </c>
      <c r="E22" s="267">
        <v>0</v>
      </c>
      <c r="F22" s="267">
        <v>0</v>
      </c>
      <c r="G22" s="267">
        <v>0</v>
      </c>
      <c r="H22" s="267">
        <v>0</v>
      </c>
      <c r="I22" s="267">
        <v>0</v>
      </c>
      <c r="J22" s="267">
        <v>0</v>
      </c>
      <c r="K22" s="267">
        <v>0</v>
      </c>
      <c r="L22" s="267">
        <v>1100000</v>
      </c>
      <c r="M22" s="267"/>
      <c r="N22" s="9"/>
    </row>
    <row r="23" spans="1:14" ht="22.5" customHeight="1">
      <c r="A23" s="106">
        <v>10</v>
      </c>
      <c r="B23" s="104" t="s">
        <v>162</v>
      </c>
      <c r="C23" s="271">
        <v>200000</v>
      </c>
      <c r="D23" s="267">
        <v>110000</v>
      </c>
      <c r="E23" s="267">
        <v>10000</v>
      </c>
      <c r="F23" s="267">
        <v>5000</v>
      </c>
      <c r="G23" s="267">
        <v>20000</v>
      </c>
      <c r="H23" s="267">
        <v>5000</v>
      </c>
      <c r="I23" s="267">
        <v>20000</v>
      </c>
      <c r="J23" s="267">
        <v>20000</v>
      </c>
      <c r="K23" s="267">
        <v>10000</v>
      </c>
      <c r="L23" s="267"/>
      <c r="M23" s="267"/>
      <c r="N23" s="9"/>
    </row>
    <row r="24" spans="1:14" ht="22.5" customHeight="1">
      <c r="A24" s="106">
        <v>11</v>
      </c>
      <c r="B24" s="104" t="s">
        <v>148</v>
      </c>
      <c r="C24" s="271">
        <v>2300000</v>
      </c>
      <c r="D24" s="267">
        <v>0</v>
      </c>
      <c r="E24" s="267">
        <v>0</v>
      </c>
      <c r="F24" s="267">
        <v>0</v>
      </c>
      <c r="G24" s="267">
        <v>0</v>
      </c>
      <c r="H24" s="267">
        <v>0</v>
      </c>
      <c r="I24" s="267">
        <v>0</v>
      </c>
      <c r="J24" s="267">
        <v>0</v>
      </c>
      <c r="K24" s="267">
        <v>0</v>
      </c>
      <c r="L24" s="267"/>
      <c r="M24" s="267">
        <v>2300000</v>
      </c>
      <c r="N24" s="9"/>
    </row>
    <row r="25" spans="1:14" ht="22.5" customHeight="1">
      <c r="A25" s="106">
        <v>12</v>
      </c>
      <c r="B25" s="104" t="s">
        <v>163</v>
      </c>
      <c r="C25" s="271">
        <v>0</v>
      </c>
      <c r="D25" s="267"/>
      <c r="E25" s="267"/>
      <c r="F25" s="267"/>
      <c r="G25" s="267"/>
      <c r="H25" s="267"/>
      <c r="I25" s="267"/>
      <c r="J25" s="267"/>
      <c r="K25" s="267"/>
      <c r="L25" s="267"/>
      <c r="M25" s="267"/>
      <c r="N25" s="9"/>
    </row>
    <row r="26" spans="1:14" s="19" customFormat="1" ht="24.75" customHeight="1">
      <c r="A26" s="101"/>
      <c r="B26" s="98" t="s">
        <v>432</v>
      </c>
      <c r="C26" s="274">
        <v>26500000</v>
      </c>
      <c r="D26" s="274">
        <v>1000000</v>
      </c>
      <c r="E26" s="274">
        <v>40000</v>
      </c>
      <c r="F26" s="274">
        <v>20000</v>
      </c>
      <c r="G26" s="274">
        <v>70000</v>
      </c>
      <c r="H26" s="274">
        <v>20000</v>
      </c>
      <c r="I26" s="274">
        <v>60000</v>
      </c>
      <c r="J26" s="274">
        <v>120000</v>
      </c>
      <c r="K26" s="274">
        <v>30000</v>
      </c>
      <c r="L26" s="274">
        <v>22840000</v>
      </c>
      <c r="M26" s="274">
        <v>2300000</v>
      </c>
      <c r="N26" s="118"/>
    </row>
    <row r="27" spans="12:14" ht="19.5" customHeight="1">
      <c r="L27" s="9"/>
      <c r="N27" s="2"/>
    </row>
    <row r="28" spans="3:14" ht="15.75">
      <c r="C28" s="2">
        <f>C26-26500000</f>
        <v>0</v>
      </c>
      <c r="N28" s="9"/>
    </row>
    <row r="29" ht="15.75">
      <c r="C29" s="9"/>
    </row>
    <row r="30" ht="15.75">
      <c r="N30" s="9"/>
    </row>
    <row r="31" ht="15.75">
      <c r="N31" s="9"/>
    </row>
    <row r="34" spans="2:13" ht="15.75">
      <c r="B34" s="288"/>
      <c r="C34" s="288"/>
      <c r="D34" s="288"/>
      <c r="K34" s="288"/>
      <c r="L34" s="288"/>
      <c r="M34" s="288"/>
    </row>
    <row r="40" spans="4:5" ht="15.75">
      <c r="D40" s="215"/>
      <c r="E40" s="290"/>
    </row>
  </sheetData>
  <sheetProtection/>
  <mergeCells count="14">
    <mergeCell ref="B34:D34"/>
    <mergeCell ref="K34:M34"/>
    <mergeCell ref="D40:E40"/>
    <mergeCell ref="A5:M5"/>
    <mergeCell ref="A7:A8"/>
    <mergeCell ref="B7:B8"/>
    <mergeCell ref="C7:C8"/>
    <mergeCell ref="D7:L7"/>
    <mergeCell ref="M7:M8"/>
    <mergeCell ref="K6:M6"/>
    <mergeCell ref="A1:M1"/>
    <mergeCell ref="A2:M2"/>
    <mergeCell ref="A3:M3"/>
    <mergeCell ref="A4:M4"/>
  </mergeCells>
  <printOptions/>
  <pageMargins left="0.48" right="0.35" top="0.33" bottom="0.38" header="0.38" footer="0.17"/>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28"/>
  <sheetViews>
    <sheetView view="pageBreakPreview" zoomScaleSheetLayoutView="100" zoomScalePageLayoutView="0" workbookViewId="0" topLeftCell="A1">
      <selection activeCell="C317" sqref="C317"/>
    </sheetView>
  </sheetViews>
  <sheetFormatPr defaultColWidth="9.00390625" defaultRowHeight="15.75"/>
  <cols>
    <col min="1" max="1" width="6.375" style="38" customWidth="1"/>
    <col min="2" max="2" width="66.125" style="36" customWidth="1"/>
    <col min="3" max="3" width="16.75390625" style="17" customWidth="1"/>
    <col min="4" max="4" width="15.375" style="17" customWidth="1"/>
    <col min="5" max="5" width="11.75390625" style="1" customWidth="1"/>
    <col min="6" max="6" width="11.00390625" style="1" customWidth="1"/>
    <col min="7" max="7" width="15.875" style="36" customWidth="1"/>
    <col min="8" max="8" width="11.50390625" style="36" bestFit="1" customWidth="1"/>
    <col min="9" max="16384" width="9.00390625" style="36" customWidth="1"/>
  </cols>
  <sheetData>
    <row r="1" spans="1:6" ht="21.75" customHeight="1">
      <c r="A1" s="294" t="s">
        <v>433</v>
      </c>
      <c r="B1" s="294"/>
      <c r="C1" s="294"/>
      <c r="D1" s="294"/>
      <c r="E1" s="10"/>
      <c r="F1" s="10"/>
    </row>
    <row r="2" spans="1:6" s="37" customFormat="1" ht="21.75" customHeight="1">
      <c r="A2" s="294" t="s">
        <v>344</v>
      </c>
      <c r="B2" s="294"/>
      <c r="C2" s="294"/>
      <c r="D2" s="294"/>
      <c r="E2" s="11"/>
      <c r="F2" s="11"/>
    </row>
    <row r="3" spans="1:6" ht="21.75" customHeight="1" hidden="1">
      <c r="A3" s="296" t="s">
        <v>306</v>
      </c>
      <c r="B3" s="296"/>
      <c r="C3" s="296"/>
      <c r="D3" s="296"/>
      <c r="E3" s="10"/>
      <c r="F3" s="10"/>
    </row>
    <row r="4" spans="1:6" ht="21.75" customHeight="1" hidden="1">
      <c r="A4" s="296" t="s">
        <v>164</v>
      </c>
      <c r="B4" s="296"/>
      <c r="C4" s="296"/>
      <c r="D4" s="296"/>
      <c r="E4" s="10"/>
      <c r="F4" s="10"/>
    </row>
    <row r="5" spans="1:6" ht="21.75" customHeight="1">
      <c r="A5" s="296" t="s">
        <v>419</v>
      </c>
      <c r="B5" s="296"/>
      <c r="C5" s="296"/>
      <c r="D5" s="296"/>
      <c r="E5" s="10"/>
      <c r="F5" s="10"/>
    </row>
    <row r="6" spans="1:6" ht="21.75" customHeight="1" hidden="1">
      <c r="A6" s="296" t="s">
        <v>14</v>
      </c>
      <c r="B6" s="296"/>
      <c r="C6" s="296"/>
      <c r="D6" s="296"/>
      <c r="E6" s="10"/>
      <c r="F6" s="10"/>
    </row>
    <row r="7" spans="3:6" ht="19.5" customHeight="1">
      <c r="C7" s="184" t="s">
        <v>186</v>
      </c>
      <c r="D7" s="184"/>
      <c r="E7" s="13"/>
      <c r="F7" s="10"/>
    </row>
    <row r="8" spans="1:4" s="37" customFormat="1" ht="15.75" customHeight="1">
      <c r="A8" s="281" t="s">
        <v>145</v>
      </c>
      <c r="B8" s="281" t="s">
        <v>15</v>
      </c>
      <c r="C8" s="185" t="s">
        <v>345</v>
      </c>
      <c r="D8" s="185" t="s">
        <v>187</v>
      </c>
    </row>
    <row r="9" spans="1:4" s="37" customFormat="1" ht="15" customHeight="1">
      <c r="A9" s="282"/>
      <c r="B9" s="282"/>
      <c r="C9" s="185"/>
      <c r="D9" s="185"/>
    </row>
    <row r="10" spans="1:4" s="37" customFormat="1" ht="18.75">
      <c r="A10" s="101"/>
      <c r="B10" s="121" t="s">
        <v>435</v>
      </c>
      <c r="C10" s="116">
        <v>322566000</v>
      </c>
      <c r="D10" s="116">
        <v>2734000</v>
      </c>
    </row>
    <row r="11" spans="1:4" s="37" customFormat="1" ht="18.75">
      <c r="A11" s="121" t="s">
        <v>26</v>
      </c>
      <c r="B11" s="101" t="s">
        <v>434</v>
      </c>
      <c r="C11" s="116">
        <v>13169000</v>
      </c>
      <c r="D11" s="263">
        <v>0</v>
      </c>
    </row>
    <row r="12" spans="1:4" s="37" customFormat="1" ht="18.75">
      <c r="A12" s="121" t="s">
        <v>27</v>
      </c>
      <c r="B12" s="101" t="s">
        <v>28</v>
      </c>
      <c r="C12" s="263">
        <v>3000000</v>
      </c>
      <c r="D12" s="263">
        <v>0</v>
      </c>
    </row>
    <row r="13" spans="1:6" ht="18.75">
      <c r="A13" s="106"/>
      <c r="B13" s="122" t="s">
        <v>29</v>
      </c>
      <c r="C13" s="267">
        <v>0</v>
      </c>
      <c r="D13" s="267">
        <v>0</v>
      </c>
      <c r="E13" s="36"/>
      <c r="F13" s="36"/>
    </row>
    <row r="14" spans="1:6" ht="18.75">
      <c r="A14" s="106"/>
      <c r="B14" s="122" t="s">
        <v>436</v>
      </c>
      <c r="C14" s="267">
        <v>420000</v>
      </c>
      <c r="D14" s="267">
        <v>0</v>
      </c>
      <c r="E14" s="36"/>
      <c r="F14" s="36"/>
    </row>
    <row r="15" spans="1:4" s="37" customFormat="1" ht="18.75">
      <c r="A15" s="121" t="s">
        <v>31</v>
      </c>
      <c r="B15" s="101" t="s">
        <v>32</v>
      </c>
      <c r="C15" s="263">
        <v>10169000</v>
      </c>
      <c r="D15" s="263">
        <v>0</v>
      </c>
    </row>
    <row r="16" spans="1:4" s="37" customFormat="1" ht="18.75">
      <c r="A16" s="121" t="s">
        <v>33</v>
      </c>
      <c r="B16" s="123" t="s">
        <v>437</v>
      </c>
      <c r="C16" s="116">
        <v>307221000</v>
      </c>
      <c r="D16" s="116">
        <v>2734000</v>
      </c>
    </row>
    <row r="17" spans="1:4" s="37" customFormat="1" ht="18.75">
      <c r="A17" s="121" t="s">
        <v>27</v>
      </c>
      <c r="B17" s="101" t="s">
        <v>438</v>
      </c>
      <c r="C17" s="263">
        <v>20541000</v>
      </c>
      <c r="D17" s="267">
        <v>0</v>
      </c>
    </row>
    <row r="18" spans="1:6" ht="18.75">
      <c r="A18" s="106">
        <v>1</v>
      </c>
      <c r="B18" s="99" t="s">
        <v>439</v>
      </c>
      <c r="C18" s="267">
        <v>850000</v>
      </c>
      <c r="D18" s="267">
        <v>0</v>
      </c>
      <c r="E18" s="36"/>
      <c r="F18" s="36"/>
    </row>
    <row r="19" spans="1:6" ht="18.75">
      <c r="A19" s="124" t="s">
        <v>4</v>
      </c>
      <c r="B19" s="122" t="s">
        <v>34</v>
      </c>
      <c r="C19" s="267">
        <v>360000</v>
      </c>
      <c r="D19" s="267">
        <v>0</v>
      </c>
      <c r="E19" s="36"/>
      <c r="F19" s="36"/>
    </row>
    <row r="20" spans="1:6" ht="18.75">
      <c r="A20" s="124" t="s">
        <v>11</v>
      </c>
      <c r="B20" s="122" t="s">
        <v>326</v>
      </c>
      <c r="C20" s="267">
        <v>300000</v>
      </c>
      <c r="D20" s="266">
        <v>0</v>
      </c>
      <c r="E20" s="36"/>
      <c r="F20" s="36"/>
    </row>
    <row r="21" spans="1:6" ht="18.75">
      <c r="A21" s="124" t="s">
        <v>11</v>
      </c>
      <c r="B21" s="122" t="s">
        <v>327</v>
      </c>
      <c r="C21" s="267">
        <v>60000</v>
      </c>
      <c r="D21" s="266">
        <v>0</v>
      </c>
      <c r="E21" s="36"/>
      <c r="F21" s="36"/>
    </row>
    <row r="22" spans="1:6" ht="18" customHeight="1">
      <c r="A22" s="124" t="s">
        <v>4</v>
      </c>
      <c r="B22" s="122" t="s">
        <v>277</v>
      </c>
      <c r="C22" s="267">
        <v>490000</v>
      </c>
      <c r="D22" s="267">
        <v>0</v>
      </c>
      <c r="E22" s="36"/>
      <c r="F22" s="36"/>
    </row>
    <row r="23" spans="1:4" s="39" customFormat="1" ht="20.25" customHeight="1">
      <c r="A23" s="106">
        <v>2</v>
      </c>
      <c r="B23" s="122" t="s">
        <v>440</v>
      </c>
      <c r="C23" s="267">
        <v>950000</v>
      </c>
      <c r="D23" s="266">
        <v>0</v>
      </c>
    </row>
    <row r="24" spans="1:6" ht="18.75">
      <c r="A24" s="124" t="s">
        <v>4</v>
      </c>
      <c r="B24" s="122" t="s">
        <v>399</v>
      </c>
      <c r="C24" s="267">
        <v>950000</v>
      </c>
      <c r="D24" s="267">
        <v>0</v>
      </c>
      <c r="E24" s="36"/>
      <c r="F24" s="36"/>
    </row>
    <row r="25" spans="1:6" ht="23.25" customHeight="1">
      <c r="A25" s="106">
        <v>3</v>
      </c>
      <c r="B25" s="122" t="s">
        <v>441</v>
      </c>
      <c r="C25" s="267">
        <v>2691000</v>
      </c>
      <c r="D25" s="267">
        <v>0</v>
      </c>
      <c r="E25" s="36"/>
      <c r="F25" s="36"/>
    </row>
    <row r="26" spans="1:6" ht="21" customHeight="1">
      <c r="A26" s="124" t="s">
        <v>4</v>
      </c>
      <c r="B26" s="122" t="s">
        <v>399</v>
      </c>
      <c r="C26" s="267">
        <v>2691000</v>
      </c>
      <c r="D26" s="267">
        <v>0</v>
      </c>
      <c r="E26" s="36"/>
      <c r="F26" s="36"/>
    </row>
    <row r="27" spans="1:6" ht="18" customHeight="1">
      <c r="A27" s="106">
        <v>4</v>
      </c>
      <c r="B27" s="122" t="s">
        <v>416</v>
      </c>
      <c r="C27" s="267">
        <v>850000</v>
      </c>
      <c r="D27" s="267">
        <v>0</v>
      </c>
      <c r="E27" s="36"/>
      <c r="F27" s="36"/>
    </row>
    <row r="28" spans="1:6" ht="15.75" customHeight="1">
      <c r="A28" s="106" t="s">
        <v>413</v>
      </c>
      <c r="B28" s="122" t="s">
        <v>415</v>
      </c>
      <c r="C28" s="113">
        <v>779200</v>
      </c>
      <c r="D28" s="267"/>
      <c r="E28" s="36"/>
      <c r="F28" s="36"/>
    </row>
    <row r="29" spans="1:6" ht="18.75">
      <c r="A29" s="124" t="s">
        <v>4</v>
      </c>
      <c r="B29" s="126" t="s">
        <v>442</v>
      </c>
      <c r="C29" s="267">
        <v>182000</v>
      </c>
      <c r="D29" s="267">
        <v>0</v>
      </c>
      <c r="E29" s="36"/>
      <c r="F29" s="36"/>
    </row>
    <row r="30" spans="1:6" ht="18.75">
      <c r="A30" s="124" t="s">
        <v>4</v>
      </c>
      <c r="B30" s="126" t="s">
        <v>443</v>
      </c>
      <c r="C30" s="267">
        <v>85000</v>
      </c>
      <c r="D30" s="267">
        <v>0</v>
      </c>
      <c r="E30" s="36"/>
      <c r="F30" s="36"/>
    </row>
    <row r="31" spans="1:6" ht="18.75">
      <c r="A31" s="124" t="s">
        <v>4</v>
      </c>
      <c r="B31" s="126" t="s">
        <v>444</v>
      </c>
      <c r="C31" s="267">
        <v>100000</v>
      </c>
      <c r="D31" s="267">
        <v>0</v>
      </c>
      <c r="E31" s="36"/>
      <c r="F31" s="36"/>
    </row>
    <row r="32" spans="1:6" ht="18" customHeight="1">
      <c r="A32" s="124" t="s">
        <v>4</v>
      </c>
      <c r="B32" s="126" t="s">
        <v>445</v>
      </c>
      <c r="C32" s="267">
        <v>95000</v>
      </c>
      <c r="D32" s="263">
        <v>0</v>
      </c>
      <c r="E32" s="36"/>
      <c r="F32" s="36"/>
    </row>
    <row r="33" spans="1:6" ht="18.75">
      <c r="A33" s="124" t="s">
        <v>4</v>
      </c>
      <c r="B33" s="126" t="s">
        <v>446</v>
      </c>
      <c r="C33" s="267">
        <v>130900</v>
      </c>
      <c r="D33" s="267">
        <v>0</v>
      </c>
      <c r="E33" s="36"/>
      <c r="F33" s="36"/>
    </row>
    <row r="34" spans="1:6" ht="18.75">
      <c r="A34" s="124" t="s">
        <v>4</v>
      </c>
      <c r="B34" s="126" t="s">
        <v>447</v>
      </c>
      <c r="C34" s="267">
        <v>60000</v>
      </c>
      <c r="D34" s="267">
        <v>0</v>
      </c>
      <c r="E34" s="36"/>
      <c r="F34" s="36"/>
    </row>
    <row r="35" spans="1:4" s="39" customFormat="1" ht="18.75">
      <c r="A35" s="124" t="s">
        <v>4</v>
      </c>
      <c r="B35" s="126" t="s">
        <v>400</v>
      </c>
      <c r="C35" s="267">
        <v>126300</v>
      </c>
      <c r="D35" s="267">
        <v>0</v>
      </c>
    </row>
    <row r="36" spans="1:4" s="39" customFormat="1" ht="16.5" customHeight="1">
      <c r="A36" s="124" t="s">
        <v>414</v>
      </c>
      <c r="B36" s="126" t="s">
        <v>277</v>
      </c>
      <c r="C36" s="267">
        <v>70800</v>
      </c>
      <c r="D36" s="263">
        <v>0</v>
      </c>
    </row>
    <row r="37" spans="1:4" s="39" customFormat="1" ht="36" customHeight="1">
      <c r="A37" s="124">
        <v>5</v>
      </c>
      <c r="B37" s="122" t="s">
        <v>448</v>
      </c>
      <c r="C37" s="267">
        <v>500000</v>
      </c>
      <c r="D37" s="267">
        <v>0</v>
      </c>
    </row>
    <row r="38" spans="1:4" s="39" customFormat="1" ht="36" customHeight="1">
      <c r="A38" s="124" t="s">
        <v>4</v>
      </c>
      <c r="B38" s="120" t="s">
        <v>449</v>
      </c>
      <c r="C38" s="267">
        <v>229100</v>
      </c>
      <c r="D38" s="267">
        <v>0</v>
      </c>
    </row>
    <row r="39" spans="1:4" s="39" customFormat="1" ht="36" customHeight="1">
      <c r="A39" s="124" t="s">
        <v>4</v>
      </c>
      <c r="B39" s="120" t="s">
        <v>450</v>
      </c>
      <c r="C39" s="267">
        <v>270900</v>
      </c>
      <c r="D39" s="267">
        <v>0</v>
      </c>
    </row>
    <row r="40" spans="1:4" s="39" customFormat="1" ht="16.5" customHeight="1">
      <c r="A40" s="124" t="s">
        <v>4</v>
      </c>
      <c r="B40" s="126" t="s">
        <v>277</v>
      </c>
      <c r="C40" s="267">
        <v>0</v>
      </c>
      <c r="D40" s="267">
        <v>0</v>
      </c>
    </row>
    <row r="41" spans="1:4" s="39" customFormat="1" ht="22.5" customHeight="1">
      <c r="A41" s="106">
        <v>6</v>
      </c>
      <c r="B41" s="122" t="s">
        <v>451</v>
      </c>
      <c r="C41" s="267">
        <v>2000000</v>
      </c>
      <c r="D41" s="267">
        <v>0</v>
      </c>
    </row>
    <row r="42" spans="1:4" s="39" customFormat="1" ht="18.75">
      <c r="A42" s="124" t="s">
        <v>4</v>
      </c>
      <c r="B42" s="122" t="s">
        <v>452</v>
      </c>
      <c r="C42" s="267">
        <v>1500000</v>
      </c>
      <c r="D42" s="267">
        <v>0</v>
      </c>
    </row>
    <row r="43" spans="1:6" ht="16.5" customHeight="1">
      <c r="A43" s="124" t="s">
        <v>4</v>
      </c>
      <c r="B43" s="126" t="s">
        <v>277</v>
      </c>
      <c r="C43" s="267">
        <v>500000</v>
      </c>
      <c r="D43" s="267">
        <v>0</v>
      </c>
      <c r="E43" s="36"/>
      <c r="F43" s="36"/>
    </row>
    <row r="44" spans="1:6" ht="16.5" customHeight="1">
      <c r="A44" s="106">
        <v>7</v>
      </c>
      <c r="B44" s="122" t="s">
        <v>36</v>
      </c>
      <c r="C44" s="267">
        <v>10000000</v>
      </c>
      <c r="D44" s="267">
        <v>0</v>
      </c>
      <c r="E44" s="36"/>
      <c r="F44" s="36"/>
    </row>
    <row r="45" spans="1:6" ht="16.5" customHeight="1">
      <c r="A45" s="106">
        <v>8</v>
      </c>
      <c r="B45" s="99" t="s">
        <v>37</v>
      </c>
      <c r="C45" s="267">
        <v>450000</v>
      </c>
      <c r="D45" s="267">
        <v>0</v>
      </c>
      <c r="E45" s="36"/>
      <c r="F45" s="36"/>
    </row>
    <row r="46" spans="1:6" ht="16.5" customHeight="1">
      <c r="A46" s="106" t="s">
        <v>4</v>
      </c>
      <c r="B46" s="99" t="s">
        <v>330</v>
      </c>
      <c r="C46" s="267">
        <v>231000</v>
      </c>
      <c r="D46" s="267">
        <v>0</v>
      </c>
      <c r="E46" s="36"/>
      <c r="F46" s="36"/>
    </row>
    <row r="47" spans="1:6" ht="16.5" customHeight="1">
      <c r="A47" s="106" t="s">
        <v>4</v>
      </c>
      <c r="B47" s="99" t="s">
        <v>387</v>
      </c>
      <c r="C47" s="267">
        <v>65000</v>
      </c>
      <c r="D47" s="267">
        <v>0</v>
      </c>
      <c r="E47" s="36"/>
      <c r="F47" s="36"/>
    </row>
    <row r="48" spans="1:6" ht="16.5" customHeight="1">
      <c r="A48" s="106" t="s">
        <v>4</v>
      </c>
      <c r="B48" s="99" t="s">
        <v>453</v>
      </c>
      <c r="C48" s="267">
        <v>20000</v>
      </c>
      <c r="D48" s="267">
        <v>0</v>
      </c>
      <c r="E48" s="36"/>
      <c r="F48" s="36"/>
    </row>
    <row r="49" spans="1:6" ht="16.5" customHeight="1">
      <c r="A49" s="106" t="s">
        <v>4</v>
      </c>
      <c r="B49" s="99" t="s">
        <v>454</v>
      </c>
      <c r="C49" s="267">
        <v>10000</v>
      </c>
      <c r="D49" s="267">
        <v>0</v>
      </c>
      <c r="E49" s="36"/>
      <c r="F49" s="36"/>
    </row>
    <row r="50" spans="1:4" s="39" customFormat="1" ht="18.75">
      <c r="A50" s="106" t="s">
        <v>4</v>
      </c>
      <c r="B50" s="99" t="s">
        <v>277</v>
      </c>
      <c r="C50" s="267">
        <v>124000</v>
      </c>
      <c r="D50" s="267">
        <v>0</v>
      </c>
    </row>
    <row r="51" spans="1:6" ht="18" customHeight="1">
      <c r="A51" s="106">
        <v>9</v>
      </c>
      <c r="B51" s="99" t="s">
        <v>38</v>
      </c>
      <c r="C51" s="267">
        <v>1050000</v>
      </c>
      <c r="D51" s="267">
        <v>0</v>
      </c>
      <c r="E51" s="36"/>
      <c r="F51" s="36"/>
    </row>
    <row r="52" spans="1:6" ht="20.25" customHeight="1">
      <c r="A52" s="124" t="s">
        <v>4</v>
      </c>
      <c r="B52" s="99" t="s">
        <v>329</v>
      </c>
      <c r="C52" s="267">
        <v>298000</v>
      </c>
      <c r="D52" s="267">
        <v>0</v>
      </c>
      <c r="E52" s="36"/>
      <c r="F52" s="36"/>
    </row>
    <row r="53" spans="1:6" ht="36.75" customHeight="1">
      <c r="A53" s="124" t="s">
        <v>4</v>
      </c>
      <c r="B53" s="122" t="s">
        <v>455</v>
      </c>
      <c r="C53" s="267">
        <v>752000</v>
      </c>
      <c r="D53" s="267">
        <v>0</v>
      </c>
      <c r="E53" s="36"/>
      <c r="F53" s="36"/>
    </row>
    <row r="54" spans="1:6" ht="18.75">
      <c r="A54" s="124" t="s">
        <v>4</v>
      </c>
      <c r="B54" s="99" t="s">
        <v>277</v>
      </c>
      <c r="C54" s="263">
        <v>0</v>
      </c>
      <c r="D54" s="267">
        <v>0</v>
      </c>
      <c r="E54" s="36"/>
      <c r="F54" s="36"/>
    </row>
    <row r="55" spans="1:6" ht="21.75" customHeight="1">
      <c r="A55" s="106">
        <v>10</v>
      </c>
      <c r="B55" s="99" t="s">
        <v>280</v>
      </c>
      <c r="C55" s="267">
        <v>1200000</v>
      </c>
      <c r="D55" s="267">
        <v>0</v>
      </c>
      <c r="E55" s="36"/>
      <c r="F55" s="36"/>
    </row>
    <row r="56" spans="1:6" ht="33.75" customHeight="1">
      <c r="A56" s="106" t="s">
        <v>389</v>
      </c>
      <c r="B56" s="122" t="s">
        <v>456</v>
      </c>
      <c r="C56" s="278">
        <v>912976.5</v>
      </c>
      <c r="D56" s="267">
        <v>0</v>
      </c>
      <c r="E56" s="36"/>
      <c r="F56" s="36"/>
    </row>
    <row r="57" spans="1:4" s="37" customFormat="1" ht="18.75">
      <c r="A57" s="124" t="s">
        <v>4</v>
      </c>
      <c r="B57" s="126" t="s">
        <v>387</v>
      </c>
      <c r="C57" s="267">
        <v>38100</v>
      </c>
      <c r="D57" s="263">
        <v>0</v>
      </c>
    </row>
    <row r="58" spans="1:4" s="37" customFormat="1" ht="18.75">
      <c r="A58" s="124" t="s">
        <v>4</v>
      </c>
      <c r="B58" s="126" t="s">
        <v>442</v>
      </c>
      <c r="C58" s="267">
        <v>74700</v>
      </c>
      <c r="D58" s="263">
        <v>0</v>
      </c>
    </row>
    <row r="59" spans="1:4" s="37" customFormat="1" ht="18.75">
      <c r="A59" s="124" t="s">
        <v>4</v>
      </c>
      <c r="B59" s="126" t="s">
        <v>443</v>
      </c>
      <c r="C59" s="267">
        <v>126900</v>
      </c>
      <c r="D59" s="263">
        <v>0</v>
      </c>
    </row>
    <row r="60" spans="1:4" s="37" customFormat="1" ht="18.75">
      <c r="A60" s="124" t="s">
        <v>4</v>
      </c>
      <c r="B60" s="126" t="s">
        <v>444</v>
      </c>
      <c r="C60" s="267">
        <v>143076.5</v>
      </c>
      <c r="D60" s="263">
        <v>0</v>
      </c>
    </row>
    <row r="61" spans="1:4" s="37" customFormat="1" ht="18.75">
      <c r="A61" s="124" t="s">
        <v>4</v>
      </c>
      <c r="B61" s="126" t="s">
        <v>445</v>
      </c>
      <c r="C61" s="267">
        <v>102700</v>
      </c>
      <c r="D61" s="263">
        <v>0</v>
      </c>
    </row>
    <row r="62" spans="1:6" ht="18.75">
      <c r="A62" s="124" t="s">
        <v>4</v>
      </c>
      <c r="B62" s="126" t="s">
        <v>446</v>
      </c>
      <c r="C62" s="267">
        <v>157100</v>
      </c>
      <c r="D62" s="267">
        <v>0</v>
      </c>
      <c r="E62" s="36"/>
      <c r="F62" s="36"/>
    </row>
    <row r="63" spans="1:6" ht="18.75">
      <c r="A63" s="124" t="s">
        <v>4</v>
      </c>
      <c r="B63" s="126" t="s">
        <v>447</v>
      </c>
      <c r="C63" s="267">
        <v>187200</v>
      </c>
      <c r="D63" s="267">
        <v>0</v>
      </c>
      <c r="E63" s="36"/>
      <c r="F63" s="36"/>
    </row>
    <row r="64" spans="1:6" ht="18.75">
      <c r="A64" s="124" t="s">
        <v>4</v>
      </c>
      <c r="B64" s="126" t="s">
        <v>400</v>
      </c>
      <c r="C64" s="267">
        <v>83200</v>
      </c>
      <c r="D64" s="267">
        <v>0</v>
      </c>
      <c r="E64" s="36"/>
      <c r="F64" s="36"/>
    </row>
    <row r="65" spans="1:6" ht="18.75">
      <c r="A65" s="124" t="s">
        <v>390</v>
      </c>
      <c r="B65" s="99" t="s">
        <v>277</v>
      </c>
      <c r="C65" s="278">
        <v>287023.5</v>
      </c>
      <c r="D65" s="267">
        <v>0</v>
      </c>
      <c r="E65" s="36"/>
      <c r="F65" s="36"/>
    </row>
    <row r="66" spans="1:6" ht="18.75">
      <c r="A66" s="121" t="s">
        <v>31</v>
      </c>
      <c r="B66" s="101" t="s">
        <v>535</v>
      </c>
      <c r="C66" s="263">
        <v>150657000</v>
      </c>
      <c r="D66" s="263">
        <v>1850000</v>
      </c>
      <c r="E66" s="36"/>
      <c r="F66" s="36"/>
    </row>
    <row r="67" spans="1:6" ht="18.75">
      <c r="A67" s="106">
        <v>1</v>
      </c>
      <c r="B67" s="99" t="s">
        <v>39</v>
      </c>
      <c r="C67" s="267">
        <v>4038000</v>
      </c>
      <c r="D67" s="263">
        <v>0</v>
      </c>
      <c r="E67" s="36"/>
      <c r="F67" s="36"/>
    </row>
    <row r="68" spans="1:6" ht="18.75">
      <c r="A68" s="106" t="s">
        <v>283</v>
      </c>
      <c r="B68" s="99" t="s">
        <v>386</v>
      </c>
      <c r="C68" s="267">
        <v>680000</v>
      </c>
      <c r="D68" s="267">
        <v>0</v>
      </c>
      <c r="E68" s="36"/>
      <c r="F68" s="36"/>
    </row>
    <row r="69" spans="1:6" ht="18.75">
      <c r="A69" s="106" t="s">
        <v>284</v>
      </c>
      <c r="B69" s="99" t="s">
        <v>458</v>
      </c>
      <c r="C69" s="267">
        <v>1650000</v>
      </c>
      <c r="D69" s="267">
        <v>0</v>
      </c>
      <c r="E69" s="36"/>
      <c r="F69" s="36"/>
    </row>
    <row r="70" spans="1:4" s="37" customFormat="1" ht="20.25" customHeight="1">
      <c r="A70" s="106" t="s">
        <v>285</v>
      </c>
      <c r="B70" s="122" t="s">
        <v>512</v>
      </c>
      <c r="C70" s="267">
        <v>183000</v>
      </c>
      <c r="D70" s="263">
        <v>0</v>
      </c>
    </row>
    <row r="71" spans="1:4" s="11" customFormat="1" ht="35.25" customHeight="1">
      <c r="A71" s="106" t="s">
        <v>286</v>
      </c>
      <c r="B71" s="122" t="s">
        <v>282</v>
      </c>
      <c r="C71" s="113">
        <v>800000</v>
      </c>
      <c r="D71" s="263">
        <v>0</v>
      </c>
    </row>
    <row r="72" spans="1:4" s="39" customFormat="1" ht="37.5">
      <c r="A72" s="106" t="s">
        <v>331</v>
      </c>
      <c r="B72" s="122" t="s">
        <v>457</v>
      </c>
      <c r="C72" s="267">
        <v>115000</v>
      </c>
      <c r="D72" s="267">
        <v>0</v>
      </c>
    </row>
    <row r="73" spans="1:4" s="39" customFormat="1" ht="33.75" customHeight="1">
      <c r="A73" s="106" t="s">
        <v>332</v>
      </c>
      <c r="B73" s="122" t="s">
        <v>459</v>
      </c>
      <c r="C73" s="267">
        <v>510000</v>
      </c>
      <c r="D73" s="267">
        <v>0</v>
      </c>
    </row>
    <row r="74" spans="1:4" s="39" customFormat="1" ht="18.75" customHeight="1">
      <c r="A74" s="106" t="s">
        <v>397</v>
      </c>
      <c r="B74" s="122" t="s">
        <v>398</v>
      </c>
      <c r="C74" s="267">
        <v>100000</v>
      </c>
      <c r="D74" s="267">
        <v>0</v>
      </c>
    </row>
    <row r="75" spans="1:4" s="39" customFormat="1" ht="22.5" customHeight="1">
      <c r="A75" s="106">
        <v>2</v>
      </c>
      <c r="B75" s="99" t="s">
        <v>460</v>
      </c>
      <c r="C75" s="267">
        <v>136389999.6896</v>
      </c>
      <c r="D75" s="267">
        <v>1850000</v>
      </c>
    </row>
    <row r="76" spans="1:4" s="39" customFormat="1" ht="18.75">
      <c r="A76" s="106" t="s">
        <v>75</v>
      </c>
      <c r="B76" s="99" t="s">
        <v>3</v>
      </c>
      <c r="C76" s="267">
        <v>36355000</v>
      </c>
      <c r="D76" s="267">
        <v>650000</v>
      </c>
    </row>
    <row r="77" spans="1:6" ht="18.75" hidden="1">
      <c r="A77" s="124" t="s">
        <v>4</v>
      </c>
      <c r="B77" s="122" t="s">
        <v>40</v>
      </c>
      <c r="C77" s="267">
        <v>59904999.5296</v>
      </c>
      <c r="D77" s="267">
        <v>600000</v>
      </c>
      <c r="E77" s="36"/>
      <c r="F77" s="36"/>
    </row>
    <row r="78" spans="1:6" ht="18.75" hidden="1">
      <c r="A78" s="124" t="s">
        <v>4</v>
      </c>
      <c r="B78" s="122" t="s">
        <v>392</v>
      </c>
      <c r="C78" s="267">
        <v>37055000.16</v>
      </c>
      <c r="D78" s="267">
        <v>600000</v>
      </c>
      <c r="E78" s="36"/>
      <c r="F78" s="36"/>
    </row>
    <row r="79" spans="1:4" s="37" customFormat="1" ht="18.75" hidden="1">
      <c r="A79" s="124" t="s">
        <v>4</v>
      </c>
      <c r="B79" s="122" t="s">
        <v>391</v>
      </c>
      <c r="C79" s="267">
        <v>3075000</v>
      </c>
      <c r="D79" s="267">
        <v>0</v>
      </c>
    </row>
    <row r="80" spans="1:6" ht="18.75" hidden="1">
      <c r="A80" s="124" t="s">
        <v>4</v>
      </c>
      <c r="B80" s="122" t="s">
        <v>393</v>
      </c>
      <c r="C80" s="263">
        <v>7300000</v>
      </c>
      <c r="D80" s="267" t="s">
        <v>126</v>
      </c>
      <c r="E80" s="36"/>
      <c r="F80" s="36"/>
    </row>
    <row r="81" spans="1:6" ht="18.75" hidden="1">
      <c r="A81" s="124" t="s">
        <v>4</v>
      </c>
      <c r="B81" s="122" t="s">
        <v>394</v>
      </c>
      <c r="C81" s="275">
        <v>3800000</v>
      </c>
      <c r="D81" s="267">
        <v>0</v>
      </c>
      <c r="E81" s="36"/>
      <c r="F81" s="36"/>
    </row>
    <row r="82" spans="1:6" ht="18.75" hidden="1">
      <c r="A82" s="124" t="s">
        <v>4</v>
      </c>
      <c r="B82" s="122" t="s">
        <v>395</v>
      </c>
      <c r="C82" s="267">
        <v>3500000</v>
      </c>
      <c r="D82" s="267">
        <v>0</v>
      </c>
      <c r="E82" s="36"/>
      <c r="F82" s="36"/>
    </row>
    <row r="83" spans="1:6" ht="18.75" hidden="1">
      <c r="A83" s="124" t="s">
        <v>4</v>
      </c>
      <c r="B83" s="122" t="s">
        <v>396</v>
      </c>
      <c r="C83" s="276">
        <v>0</v>
      </c>
      <c r="D83" s="276">
        <v>0</v>
      </c>
      <c r="E83" s="36"/>
      <c r="F83" s="36"/>
    </row>
    <row r="84" spans="1:6" ht="18.75" hidden="1">
      <c r="A84" s="124" t="s">
        <v>4</v>
      </c>
      <c r="B84" s="122" t="s">
        <v>321</v>
      </c>
      <c r="C84" s="263">
        <v>277280</v>
      </c>
      <c r="D84" s="267">
        <v>0</v>
      </c>
      <c r="E84" s="36"/>
      <c r="F84" s="36"/>
    </row>
    <row r="85" spans="1:6" ht="18.75" hidden="1">
      <c r="A85" s="124" t="s">
        <v>4</v>
      </c>
      <c r="B85" s="122" t="s">
        <v>322</v>
      </c>
      <c r="C85" s="267">
        <v>34660</v>
      </c>
      <c r="D85" s="267">
        <v>0</v>
      </c>
      <c r="E85" s="36"/>
      <c r="F85" s="36"/>
    </row>
    <row r="86" spans="1:6" ht="18.75" hidden="1">
      <c r="A86" s="124" t="s">
        <v>4</v>
      </c>
      <c r="B86" s="122" t="s">
        <v>323</v>
      </c>
      <c r="C86" s="267">
        <v>34660</v>
      </c>
      <c r="D86" s="266">
        <v>0</v>
      </c>
      <c r="E86" s="36"/>
      <c r="F86" s="36"/>
    </row>
    <row r="87" spans="1:6" ht="18.75" hidden="1">
      <c r="A87" s="124" t="s">
        <v>4</v>
      </c>
      <c r="B87" s="122" t="s">
        <v>324</v>
      </c>
      <c r="C87" s="267">
        <v>34660</v>
      </c>
      <c r="D87" s="266">
        <v>0</v>
      </c>
      <c r="E87" s="36"/>
      <c r="F87" s="36"/>
    </row>
    <row r="88" spans="1:6" ht="18.75" hidden="1">
      <c r="A88" s="124" t="s">
        <v>4</v>
      </c>
      <c r="B88" s="122" t="s">
        <v>325</v>
      </c>
      <c r="C88" s="267">
        <v>34660</v>
      </c>
      <c r="D88" s="266">
        <v>0</v>
      </c>
      <c r="E88" s="36"/>
      <c r="F88" s="36"/>
    </row>
    <row r="89" spans="1:4" s="37" customFormat="1" ht="20.25" customHeight="1">
      <c r="A89" s="106" t="s">
        <v>80</v>
      </c>
      <c r="B89" s="99" t="s">
        <v>6</v>
      </c>
      <c r="C89" s="267">
        <v>59904999.5296</v>
      </c>
      <c r="D89" s="267">
        <v>600000</v>
      </c>
    </row>
    <row r="90" spans="1:6" ht="18.75">
      <c r="A90" s="106" t="s">
        <v>82</v>
      </c>
      <c r="B90" s="99" t="s">
        <v>42</v>
      </c>
      <c r="C90" s="267">
        <v>37055000.16</v>
      </c>
      <c r="D90" s="267">
        <v>600000</v>
      </c>
      <c r="E90" s="36"/>
      <c r="F90" s="36"/>
    </row>
    <row r="91" spans="1:6" ht="18.75" customHeight="1">
      <c r="A91" s="106" t="s">
        <v>83</v>
      </c>
      <c r="B91" s="122" t="s">
        <v>388</v>
      </c>
      <c r="C91" s="267">
        <v>3075000</v>
      </c>
      <c r="D91" s="267">
        <v>0</v>
      </c>
      <c r="E91" s="36"/>
      <c r="F91" s="36"/>
    </row>
    <row r="92" spans="1:6" ht="16.5" customHeight="1">
      <c r="A92" s="106">
        <v>3</v>
      </c>
      <c r="B92" s="122" t="s">
        <v>461</v>
      </c>
      <c r="C92" s="267">
        <v>7300000</v>
      </c>
      <c r="D92" s="267" t="s">
        <v>126</v>
      </c>
      <c r="E92" s="36"/>
      <c r="F92" s="36"/>
    </row>
    <row r="93" spans="1:6" ht="18.75">
      <c r="A93" s="124" t="s">
        <v>4</v>
      </c>
      <c r="B93" s="99" t="s">
        <v>462</v>
      </c>
      <c r="C93" s="275">
        <v>3800000</v>
      </c>
      <c r="D93" s="267">
        <v>0</v>
      </c>
      <c r="E93" s="36"/>
      <c r="F93" s="36"/>
    </row>
    <row r="94" spans="1:6" ht="18.75">
      <c r="A94" s="124" t="s">
        <v>4</v>
      </c>
      <c r="B94" s="99" t="s">
        <v>7</v>
      </c>
      <c r="C94" s="267">
        <v>3500000</v>
      </c>
      <c r="D94" s="267">
        <v>0</v>
      </c>
      <c r="E94" s="36"/>
      <c r="F94" s="36"/>
    </row>
    <row r="95" spans="1:6" ht="18.75">
      <c r="A95" s="124" t="s">
        <v>4</v>
      </c>
      <c r="B95" s="99" t="s">
        <v>277</v>
      </c>
      <c r="C95" s="276">
        <v>0</v>
      </c>
      <c r="D95" s="276">
        <v>0</v>
      </c>
      <c r="E95" s="36"/>
      <c r="F95" s="36"/>
    </row>
    <row r="96" spans="1:4" s="39" customFormat="1" ht="18.75">
      <c r="A96" s="106">
        <v>4</v>
      </c>
      <c r="B96" s="122" t="s">
        <v>43</v>
      </c>
      <c r="C96" s="267">
        <v>277280</v>
      </c>
      <c r="D96" s="267">
        <v>0</v>
      </c>
    </row>
    <row r="97" spans="1:4" s="39" customFormat="1" ht="18.75">
      <c r="A97" s="106" t="s">
        <v>4</v>
      </c>
      <c r="B97" s="126" t="s">
        <v>387</v>
      </c>
      <c r="C97" s="267">
        <v>34660</v>
      </c>
      <c r="D97" s="267">
        <v>0</v>
      </c>
    </row>
    <row r="98" spans="1:4" s="39" customFormat="1" ht="18.75">
      <c r="A98" s="106" t="s">
        <v>4</v>
      </c>
      <c r="B98" s="126" t="s">
        <v>442</v>
      </c>
      <c r="C98" s="267">
        <v>34660</v>
      </c>
      <c r="D98" s="266">
        <v>0</v>
      </c>
    </row>
    <row r="99" spans="1:4" s="39" customFormat="1" ht="18.75">
      <c r="A99" s="106" t="s">
        <v>4</v>
      </c>
      <c r="B99" s="126" t="s">
        <v>443</v>
      </c>
      <c r="C99" s="267">
        <v>34660</v>
      </c>
      <c r="D99" s="266">
        <v>0</v>
      </c>
    </row>
    <row r="100" spans="1:4" s="39" customFormat="1" ht="18.75">
      <c r="A100" s="106" t="s">
        <v>4</v>
      </c>
      <c r="B100" s="126" t="s">
        <v>444</v>
      </c>
      <c r="C100" s="267">
        <v>34660</v>
      </c>
      <c r="D100" s="266">
        <v>0</v>
      </c>
    </row>
    <row r="101" spans="1:4" s="39" customFormat="1" ht="18.75">
      <c r="A101" s="106" t="s">
        <v>4</v>
      </c>
      <c r="B101" s="126" t="s">
        <v>445</v>
      </c>
      <c r="C101" s="267">
        <v>34660</v>
      </c>
      <c r="D101" s="266">
        <v>0</v>
      </c>
    </row>
    <row r="102" spans="1:6" ht="16.5" customHeight="1">
      <c r="A102" s="106" t="s">
        <v>4</v>
      </c>
      <c r="B102" s="126" t="s">
        <v>446</v>
      </c>
      <c r="C102" s="267">
        <v>34660</v>
      </c>
      <c r="D102" s="267">
        <v>0</v>
      </c>
      <c r="E102" s="36"/>
      <c r="F102" s="36"/>
    </row>
    <row r="103" spans="1:6" ht="18.75">
      <c r="A103" s="106" t="s">
        <v>4</v>
      </c>
      <c r="B103" s="126" t="s">
        <v>447</v>
      </c>
      <c r="C103" s="267">
        <v>34660</v>
      </c>
      <c r="D103" s="267">
        <v>0</v>
      </c>
      <c r="E103" s="36"/>
      <c r="F103" s="36"/>
    </row>
    <row r="104" spans="1:6" ht="18.75">
      <c r="A104" s="106" t="s">
        <v>4</v>
      </c>
      <c r="B104" s="126" t="s">
        <v>400</v>
      </c>
      <c r="C104" s="267">
        <v>34660</v>
      </c>
      <c r="D104" s="267">
        <v>0</v>
      </c>
      <c r="E104" s="36"/>
      <c r="F104" s="36"/>
    </row>
    <row r="105" spans="1:6" ht="20.25" customHeight="1">
      <c r="A105" s="106">
        <v>5</v>
      </c>
      <c r="B105" s="122" t="s">
        <v>301</v>
      </c>
      <c r="C105" s="267">
        <v>200000</v>
      </c>
      <c r="D105" s="267">
        <v>0</v>
      </c>
      <c r="E105" s="36"/>
      <c r="F105" s="36"/>
    </row>
    <row r="106" spans="1:6" ht="18.75">
      <c r="A106" s="106">
        <v>6</v>
      </c>
      <c r="B106" s="107" t="s">
        <v>278</v>
      </c>
      <c r="C106" s="267">
        <v>2451720.310400009</v>
      </c>
      <c r="D106" s="267">
        <v>0</v>
      </c>
      <c r="E106" s="36"/>
      <c r="F106" s="36"/>
    </row>
    <row r="107" spans="1:6" ht="18.75">
      <c r="A107" s="121" t="s">
        <v>44</v>
      </c>
      <c r="B107" s="101" t="s">
        <v>463</v>
      </c>
      <c r="C107" s="263">
        <v>27656000</v>
      </c>
      <c r="D107" s="263">
        <v>50000</v>
      </c>
      <c r="E107" s="36"/>
      <c r="F107" s="36"/>
    </row>
    <row r="108" spans="1:6" ht="18.75">
      <c r="A108" s="106">
        <v>1</v>
      </c>
      <c r="B108" s="99" t="s">
        <v>45</v>
      </c>
      <c r="C108" s="267">
        <v>12555000</v>
      </c>
      <c r="D108" s="267">
        <v>30000</v>
      </c>
      <c r="E108" s="36"/>
      <c r="F108" s="36"/>
    </row>
    <row r="109" spans="1:6" ht="18.75">
      <c r="A109" s="106">
        <v>2</v>
      </c>
      <c r="B109" s="99" t="s">
        <v>464</v>
      </c>
      <c r="C109" s="267">
        <v>4530500</v>
      </c>
      <c r="D109" s="267">
        <v>20000</v>
      </c>
      <c r="E109" s="36"/>
      <c r="F109" s="36"/>
    </row>
    <row r="110" spans="1:6" ht="18.75">
      <c r="A110" s="106">
        <v>3</v>
      </c>
      <c r="B110" s="99" t="s">
        <v>465</v>
      </c>
      <c r="C110" s="267">
        <v>6728300</v>
      </c>
      <c r="D110" s="267">
        <v>0</v>
      </c>
      <c r="E110" s="36"/>
      <c r="F110" s="36"/>
    </row>
    <row r="111" spans="1:6" ht="18.75">
      <c r="A111" s="106">
        <v>4</v>
      </c>
      <c r="B111" s="99" t="s">
        <v>255</v>
      </c>
      <c r="C111" s="267">
        <v>756240</v>
      </c>
      <c r="D111" s="267">
        <v>0</v>
      </c>
      <c r="E111" s="36"/>
      <c r="F111" s="36"/>
    </row>
    <row r="112" spans="1:6" ht="20.25" customHeight="1">
      <c r="A112" s="106">
        <v>5</v>
      </c>
      <c r="B112" s="99" t="s">
        <v>466</v>
      </c>
      <c r="C112" s="267">
        <v>133000</v>
      </c>
      <c r="D112" s="267">
        <v>0</v>
      </c>
      <c r="E112" s="36"/>
      <c r="F112" s="36"/>
    </row>
    <row r="113" spans="1:6" ht="18.75">
      <c r="A113" s="106">
        <v>6</v>
      </c>
      <c r="B113" s="99" t="s">
        <v>467</v>
      </c>
      <c r="C113" s="267">
        <v>1200000</v>
      </c>
      <c r="D113" s="267">
        <v>0</v>
      </c>
      <c r="E113" s="36"/>
      <c r="F113" s="36"/>
    </row>
    <row r="114" spans="1:6" ht="21.75" customHeight="1">
      <c r="A114" s="106">
        <v>7</v>
      </c>
      <c r="B114" s="122" t="s">
        <v>301</v>
      </c>
      <c r="C114" s="267">
        <v>200000</v>
      </c>
      <c r="D114" s="267">
        <v>0</v>
      </c>
      <c r="E114" s="36"/>
      <c r="F114" s="36"/>
    </row>
    <row r="115" spans="1:6" ht="18.75">
      <c r="A115" s="106">
        <v>8</v>
      </c>
      <c r="B115" s="122" t="s">
        <v>403</v>
      </c>
      <c r="C115" s="267">
        <v>800000</v>
      </c>
      <c r="D115" s="267"/>
      <c r="E115" s="36"/>
      <c r="F115" s="36"/>
    </row>
    <row r="116" spans="1:6" ht="18.75">
      <c r="A116" s="106">
        <v>9</v>
      </c>
      <c r="B116" s="99" t="s">
        <v>277</v>
      </c>
      <c r="C116" s="267">
        <v>752960</v>
      </c>
      <c r="D116" s="267">
        <v>0</v>
      </c>
      <c r="E116" s="36"/>
      <c r="F116" s="36"/>
    </row>
    <row r="117" spans="1:6" ht="18.75">
      <c r="A117" s="121" t="s">
        <v>46</v>
      </c>
      <c r="B117" s="101" t="s">
        <v>47</v>
      </c>
      <c r="C117" s="263">
        <v>2225000</v>
      </c>
      <c r="D117" s="263">
        <v>50000</v>
      </c>
      <c r="E117" s="36"/>
      <c r="F117" s="36"/>
    </row>
    <row r="118" spans="1:6" ht="18.75">
      <c r="A118" s="106">
        <v>1</v>
      </c>
      <c r="B118" s="99" t="s">
        <v>468</v>
      </c>
      <c r="C118" s="267">
        <v>1574000</v>
      </c>
      <c r="D118" s="267">
        <v>50000</v>
      </c>
      <c r="E118" s="36"/>
      <c r="F118" s="36"/>
    </row>
    <row r="119" spans="1:6" ht="18.75">
      <c r="A119" s="124" t="s">
        <v>4</v>
      </c>
      <c r="B119" s="99" t="s">
        <v>48</v>
      </c>
      <c r="C119" s="267">
        <v>1224000</v>
      </c>
      <c r="D119" s="267">
        <v>50000</v>
      </c>
      <c r="E119" s="36"/>
      <c r="F119" s="36"/>
    </row>
    <row r="120" spans="1:6" ht="18.75">
      <c r="A120" s="106" t="s">
        <v>4</v>
      </c>
      <c r="B120" s="122" t="s">
        <v>402</v>
      </c>
      <c r="C120" s="267">
        <v>150000</v>
      </c>
      <c r="D120" s="267">
        <v>0</v>
      </c>
      <c r="E120" s="36"/>
      <c r="F120" s="36"/>
    </row>
    <row r="121" spans="1:6" ht="37.5">
      <c r="A121" s="124" t="s">
        <v>4</v>
      </c>
      <c r="B121" s="122" t="s">
        <v>49</v>
      </c>
      <c r="C121" s="267">
        <v>200000</v>
      </c>
      <c r="D121" s="267">
        <v>0</v>
      </c>
      <c r="E121" s="36"/>
      <c r="F121" s="36"/>
    </row>
    <row r="122" spans="1:6" ht="18.75">
      <c r="A122" s="124">
        <v>2</v>
      </c>
      <c r="B122" s="122" t="s">
        <v>50</v>
      </c>
      <c r="C122" s="267">
        <v>100000</v>
      </c>
      <c r="D122" s="267">
        <v>0</v>
      </c>
      <c r="E122" s="36"/>
      <c r="F122" s="36"/>
    </row>
    <row r="123" spans="1:6" ht="18.75">
      <c r="A123" s="124"/>
      <c r="B123" s="122" t="s">
        <v>469</v>
      </c>
      <c r="C123" s="267">
        <v>100000</v>
      </c>
      <c r="D123" s="267">
        <v>0</v>
      </c>
      <c r="E123" s="36"/>
      <c r="F123" s="36"/>
    </row>
    <row r="124" spans="1:6" ht="37.5">
      <c r="A124" s="106">
        <v>3</v>
      </c>
      <c r="B124" s="122" t="s">
        <v>52</v>
      </c>
      <c r="C124" s="267">
        <v>500000</v>
      </c>
      <c r="D124" s="267">
        <v>0</v>
      </c>
      <c r="E124" s="36"/>
      <c r="F124" s="36"/>
    </row>
    <row r="125" spans="1:4" s="40" customFormat="1" ht="15.75" customHeight="1">
      <c r="A125" s="106">
        <v>4</v>
      </c>
      <c r="B125" s="99" t="s">
        <v>277</v>
      </c>
      <c r="C125" s="267">
        <v>51000</v>
      </c>
      <c r="D125" s="263">
        <v>0</v>
      </c>
    </row>
    <row r="126" spans="1:4" s="40" customFormat="1" ht="15.75" customHeight="1">
      <c r="A126" s="121" t="s">
        <v>53</v>
      </c>
      <c r="B126" s="125" t="s">
        <v>54</v>
      </c>
      <c r="C126" s="263">
        <v>2302000</v>
      </c>
      <c r="D126" s="263">
        <v>34000</v>
      </c>
    </row>
    <row r="127" spans="1:4" s="40" customFormat="1" ht="15.75" customHeight="1">
      <c r="A127" s="106">
        <v>1</v>
      </c>
      <c r="B127" s="99" t="s">
        <v>425</v>
      </c>
      <c r="C127" s="267">
        <v>2122000</v>
      </c>
      <c r="D127" s="267">
        <v>34000</v>
      </c>
    </row>
    <row r="128" spans="1:4" s="40" customFormat="1" ht="15.75" customHeight="1">
      <c r="A128" s="106">
        <v>2</v>
      </c>
      <c r="B128" s="99" t="s">
        <v>277</v>
      </c>
      <c r="C128" s="267">
        <v>180000</v>
      </c>
      <c r="D128" s="266">
        <v>0</v>
      </c>
    </row>
    <row r="129" spans="1:6" ht="15.75" customHeight="1">
      <c r="A129" s="121" t="s">
        <v>55</v>
      </c>
      <c r="B129" s="101" t="s">
        <v>56</v>
      </c>
      <c r="C129" s="263">
        <v>13240000</v>
      </c>
      <c r="D129" s="263">
        <v>0</v>
      </c>
      <c r="E129" s="36"/>
      <c r="F129" s="36"/>
    </row>
    <row r="130" spans="1:6" ht="18.75">
      <c r="A130" s="106">
        <v>1</v>
      </c>
      <c r="B130" s="127" t="s">
        <v>470</v>
      </c>
      <c r="C130" s="267">
        <v>2145000</v>
      </c>
      <c r="D130" s="263">
        <v>0</v>
      </c>
      <c r="E130" s="36"/>
      <c r="F130" s="36"/>
    </row>
    <row r="131" spans="1:6" ht="18.75">
      <c r="A131" s="106">
        <v>2</v>
      </c>
      <c r="B131" s="99" t="s">
        <v>57</v>
      </c>
      <c r="C131" s="267">
        <v>162000</v>
      </c>
      <c r="D131" s="263">
        <v>0</v>
      </c>
      <c r="E131" s="36"/>
      <c r="F131" s="36"/>
    </row>
    <row r="132" spans="1:6" ht="37.5">
      <c r="A132" s="106">
        <v>3</v>
      </c>
      <c r="B132" s="122" t="s">
        <v>411</v>
      </c>
      <c r="C132" s="267">
        <v>800000</v>
      </c>
      <c r="D132" s="263">
        <v>0</v>
      </c>
      <c r="E132" s="36"/>
      <c r="F132" s="36"/>
    </row>
    <row r="133" spans="1:4" s="39" customFormat="1" ht="18.75">
      <c r="A133" s="106">
        <v>4</v>
      </c>
      <c r="B133" s="122" t="s">
        <v>471</v>
      </c>
      <c r="C133" s="267">
        <v>200000</v>
      </c>
      <c r="D133" s="263">
        <v>0</v>
      </c>
    </row>
    <row r="134" spans="1:6" ht="22.5" customHeight="1">
      <c r="A134" s="106">
        <v>5</v>
      </c>
      <c r="B134" s="122" t="s">
        <v>472</v>
      </c>
      <c r="C134" s="267">
        <v>3500000</v>
      </c>
      <c r="D134" s="263">
        <v>0</v>
      </c>
      <c r="E134" s="36"/>
      <c r="F134" s="36"/>
    </row>
    <row r="135" spans="1:6" ht="18" customHeight="1">
      <c r="A135" s="106">
        <v>6</v>
      </c>
      <c r="B135" s="99" t="s">
        <v>406</v>
      </c>
      <c r="C135" s="267">
        <v>2234000</v>
      </c>
      <c r="D135" s="263">
        <v>0</v>
      </c>
      <c r="E135" s="36"/>
      <c r="F135" s="36"/>
    </row>
    <row r="136" spans="1:6" ht="18.75">
      <c r="A136" s="106" t="s">
        <v>4</v>
      </c>
      <c r="B136" s="126" t="s">
        <v>387</v>
      </c>
      <c r="C136" s="267">
        <v>53544</v>
      </c>
      <c r="D136" s="267">
        <v>0</v>
      </c>
      <c r="E136" s="36"/>
      <c r="F136" s="36"/>
    </row>
    <row r="137" spans="1:6" ht="18.75">
      <c r="A137" s="106" t="s">
        <v>4</v>
      </c>
      <c r="B137" s="126" t="s">
        <v>442</v>
      </c>
      <c r="C137" s="267">
        <v>210312</v>
      </c>
      <c r="D137" s="267">
        <v>0</v>
      </c>
      <c r="E137" s="36"/>
      <c r="F137" s="36"/>
    </row>
    <row r="138" spans="1:6" ht="18.75">
      <c r="A138" s="106" t="s">
        <v>4</v>
      </c>
      <c r="B138" s="126" t="s">
        <v>443</v>
      </c>
      <c r="C138" s="267">
        <v>159528</v>
      </c>
      <c r="D138" s="267">
        <v>0</v>
      </c>
      <c r="E138" s="36"/>
      <c r="F138" s="36"/>
    </row>
    <row r="139" spans="1:6" ht="18.75">
      <c r="A139" s="106" t="s">
        <v>4</v>
      </c>
      <c r="B139" s="126" t="s">
        <v>444</v>
      </c>
      <c r="C139" s="267">
        <v>342792</v>
      </c>
      <c r="D139" s="267">
        <v>0</v>
      </c>
      <c r="E139" s="36"/>
      <c r="F139" s="36"/>
    </row>
    <row r="140" spans="1:6" ht="18.75">
      <c r="A140" s="106" t="s">
        <v>4</v>
      </c>
      <c r="B140" s="126" t="s">
        <v>445</v>
      </c>
      <c r="C140" s="267">
        <v>125856</v>
      </c>
      <c r="D140" s="267">
        <v>0</v>
      </c>
      <c r="E140" s="36"/>
      <c r="F140" s="36"/>
    </row>
    <row r="141" spans="1:6" ht="18.75">
      <c r="A141" s="106" t="s">
        <v>4</v>
      </c>
      <c r="B141" s="126" t="s">
        <v>446</v>
      </c>
      <c r="C141" s="267">
        <v>377568</v>
      </c>
      <c r="D141" s="267">
        <v>0</v>
      </c>
      <c r="E141" s="36"/>
      <c r="F141" s="36"/>
    </row>
    <row r="142" spans="1:6" ht="18.75">
      <c r="A142" s="106" t="s">
        <v>4</v>
      </c>
      <c r="B142" s="126" t="s">
        <v>447</v>
      </c>
      <c r="C142" s="267">
        <v>481896</v>
      </c>
      <c r="D142" s="267">
        <v>0</v>
      </c>
      <c r="E142" s="36"/>
      <c r="F142" s="36"/>
    </row>
    <row r="143" spans="1:6" ht="18.75">
      <c r="A143" s="106" t="s">
        <v>4</v>
      </c>
      <c r="B143" s="126" t="s">
        <v>400</v>
      </c>
      <c r="C143" s="267">
        <v>156216</v>
      </c>
      <c r="D143" s="267">
        <v>0</v>
      </c>
      <c r="E143" s="36"/>
      <c r="F143" s="36"/>
    </row>
    <row r="144" spans="1:6" ht="18.75">
      <c r="A144" s="106" t="s">
        <v>4</v>
      </c>
      <c r="B144" s="99" t="s">
        <v>277</v>
      </c>
      <c r="C144" s="267">
        <v>326288</v>
      </c>
      <c r="D144" s="267">
        <v>0</v>
      </c>
      <c r="E144" s="36"/>
      <c r="F144" s="36"/>
    </row>
    <row r="145" spans="1:6" ht="37.5">
      <c r="A145" s="106">
        <v>7</v>
      </c>
      <c r="B145" s="122" t="s">
        <v>473</v>
      </c>
      <c r="C145" s="267">
        <v>500000</v>
      </c>
      <c r="D145" s="263">
        <v>0</v>
      </c>
      <c r="E145" s="36"/>
      <c r="F145" s="36"/>
    </row>
    <row r="146" spans="1:6" ht="18.75">
      <c r="A146" s="106">
        <v>8</v>
      </c>
      <c r="B146" s="99" t="s">
        <v>56</v>
      </c>
      <c r="C146" s="267">
        <v>1885500</v>
      </c>
      <c r="D146" s="263">
        <v>0</v>
      </c>
      <c r="E146" s="36"/>
      <c r="F146" s="36"/>
    </row>
    <row r="147" spans="1:6" ht="18.75">
      <c r="A147" s="124" t="s">
        <v>4</v>
      </c>
      <c r="B147" s="99" t="s">
        <v>474</v>
      </c>
      <c r="C147" s="267">
        <v>85000</v>
      </c>
      <c r="D147" s="267">
        <v>0</v>
      </c>
      <c r="E147" s="36"/>
      <c r="F147" s="36"/>
    </row>
    <row r="148" spans="1:6" ht="33" customHeight="1">
      <c r="A148" s="124" t="s">
        <v>4</v>
      </c>
      <c r="B148" s="122" t="s">
        <v>477</v>
      </c>
      <c r="C148" s="267">
        <v>160000</v>
      </c>
      <c r="D148" s="267">
        <v>0</v>
      </c>
      <c r="E148" s="36"/>
      <c r="F148" s="36"/>
    </row>
    <row r="149" spans="1:6" ht="18.75">
      <c r="A149" s="124" t="s">
        <v>4</v>
      </c>
      <c r="B149" s="99" t="s">
        <v>61</v>
      </c>
      <c r="C149" s="267">
        <v>1640500</v>
      </c>
      <c r="D149" s="263">
        <v>0</v>
      </c>
      <c r="E149" s="36"/>
      <c r="F149" s="36"/>
    </row>
    <row r="150" spans="1:6" ht="16.5" customHeight="1">
      <c r="A150" s="106">
        <v>9</v>
      </c>
      <c r="B150" s="99" t="s">
        <v>62</v>
      </c>
      <c r="C150" s="267">
        <v>1813500</v>
      </c>
      <c r="D150" s="263">
        <v>0</v>
      </c>
      <c r="E150" s="36"/>
      <c r="F150" s="36"/>
    </row>
    <row r="151" spans="1:6" ht="18.75">
      <c r="A151" s="106">
        <v>10</v>
      </c>
      <c r="B151" s="99" t="s">
        <v>277</v>
      </c>
      <c r="C151" s="263">
        <v>0</v>
      </c>
      <c r="D151" s="263">
        <v>0</v>
      </c>
      <c r="E151" s="36"/>
      <c r="F151" s="36"/>
    </row>
    <row r="152" spans="1:6" ht="18.75">
      <c r="A152" s="121" t="s">
        <v>63</v>
      </c>
      <c r="B152" s="102" t="s">
        <v>64</v>
      </c>
      <c r="C152" s="116">
        <v>71486000</v>
      </c>
      <c r="D152" s="116">
        <v>740000</v>
      </c>
      <c r="E152" s="36"/>
      <c r="F152" s="36"/>
    </row>
    <row r="153" spans="1:6" ht="18.75">
      <c r="A153" s="106">
        <v>1</v>
      </c>
      <c r="B153" s="127" t="s">
        <v>475</v>
      </c>
      <c r="C153" s="267">
        <v>8085000</v>
      </c>
      <c r="D153" s="267">
        <v>150000</v>
      </c>
      <c r="E153" s="36"/>
      <c r="F153" s="36"/>
    </row>
    <row r="154" spans="1:6" ht="18.75">
      <c r="A154" s="106" t="s">
        <v>283</v>
      </c>
      <c r="B154" s="99" t="s">
        <v>66</v>
      </c>
      <c r="C154" s="267">
        <v>7735820</v>
      </c>
      <c r="D154" s="267">
        <v>150000</v>
      </c>
      <c r="E154" s="36"/>
      <c r="F154" s="36"/>
    </row>
    <row r="155" spans="1:6" ht="18.75">
      <c r="A155" s="124" t="s">
        <v>4</v>
      </c>
      <c r="B155" s="122" t="s">
        <v>68</v>
      </c>
      <c r="C155" s="267">
        <v>5717500</v>
      </c>
      <c r="D155" s="267">
        <v>150000</v>
      </c>
      <c r="E155" s="36"/>
      <c r="F155" s="36"/>
    </row>
    <row r="156" spans="1:6" ht="18.75">
      <c r="A156" s="124" t="s">
        <v>4</v>
      </c>
      <c r="B156" s="122" t="s">
        <v>69</v>
      </c>
      <c r="C156" s="267">
        <v>190000</v>
      </c>
      <c r="D156" s="267">
        <v>0</v>
      </c>
      <c r="E156" s="36"/>
      <c r="F156" s="36"/>
    </row>
    <row r="157" spans="1:6" ht="18.75">
      <c r="A157" s="124" t="s">
        <v>4</v>
      </c>
      <c r="B157" s="122" t="s">
        <v>358</v>
      </c>
      <c r="C157" s="267">
        <v>88320</v>
      </c>
      <c r="D157" s="267">
        <v>0</v>
      </c>
      <c r="E157" s="36"/>
      <c r="F157" s="36"/>
    </row>
    <row r="158" spans="1:6" ht="18.75">
      <c r="A158" s="124" t="s">
        <v>4</v>
      </c>
      <c r="B158" s="122" t="s">
        <v>357</v>
      </c>
      <c r="C158" s="267">
        <v>40000</v>
      </c>
      <c r="D158" s="267">
        <v>0</v>
      </c>
      <c r="E158" s="36"/>
      <c r="F158" s="36"/>
    </row>
    <row r="159" spans="1:4" s="37" customFormat="1" ht="21.75" customHeight="1">
      <c r="A159" s="124" t="s">
        <v>4</v>
      </c>
      <c r="B159" s="122" t="s">
        <v>359</v>
      </c>
      <c r="C159" s="267">
        <v>200000</v>
      </c>
      <c r="D159" s="263">
        <v>0</v>
      </c>
    </row>
    <row r="160" spans="1:6" ht="18.75">
      <c r="A160" s="124" t="s">
        <v>4</v>
      </c>
      <c r="B160" s="122" t="s">
        <v>70</v>
      </c>
      <c r="C160" s="267">
        <v>100000</v>
      </c>
      <c r="D160" s="267">
        <v>0</v>
      </c>
      <c r="E160" s="36"/>
      <c r="F160" s="36"/>
    </row>
    <row r="161" spans="1:6" ht="18.75">
      <c r="A161" s="124" t="s">
        <v>4</v>
      </c>
      <c r="B161" s="122" t="s">
        <v>71</v>
      </c>
      <c r="C161" s="267">
        <v>300000</v>
      </c>
      <c r="D161" s="267">
        <v>0</v>
      </c>
      <c r="E161" s="36"/>
      <c r="F161" s="36"/>
    </row>
    <row r="162" spans="1:4" s="39" customFormat="1" ht="18.75">
      <c r="A162" s="124" t="s">
        <v>4</v>
      </c>
      <c r="B162" s="122" t="s">
        <v>276</v>
      </c>
      <c r="C162" s="267">
        <v>150000</v>
      </c>
      <c r="D162" s="266">
        <v>0</v>
      </c>
    </row>
    <row r="163" spans="1:4" s="39" customFormat="1" ht="18.75">
      <c r="A163" s="124" t="s">
        <v>4</v>
      </c>
      <c r="B163" s="122" t="s">
        <v>275</v>
      </c>
      <c r="C163" s="267">
        <v>80000</v>
      </c>
      <c r="D163" s="266">
        <v>0</v>
      </c>
    </row>
    <row r="164" spans="1:6" ht="38.25" customHeight="1">
      <c r="A164" s="124" t="s">
        <v>4</v>
      </c>
      <c r="B164" s="122" t="s">
        <v>476</v>
      </c>
      <c r="C164" s="267">
        <v>250000</v>
      </c>
      <c r="D164" s="267">
        <v>0</v>
      </c>
      <c r="E164" s="36"/>
      <c r="F164" s="36"/>
    </row>
    <row r="165" spans="1:4" s="37" customFormat="1" ht="18.75">
      <c r="A165" s="124" t="s">
        <v>4</v>
      </c>
      <c r="B165" s="122" t="s">
        <v>72</v>
      </c>
      <c r="C165" s="267">
        <v>120000</v>
      </c>
      <c r="D165" s="263">
        <v>0</v>
      </c>
    </row>
    <row r="166" spans="1:4" s="41" customFormat="1" ht="37.5">
      <c r="A166" s="124" t="s">
        <v>4</v>
      </c>
      <c r="B166" s="122" t="s">
        <v>304</v>
      </c>
      <c r="C166" s="267">
        <v>250000</v>
      </c>
      <c r="D166" s="266">
        <v>0</v>
      </c>
    </row>
    <row r="167" spans="1:4" s="41" customFormat="1" ht="19.5">
      <c r="A167" s="124" t="s">
        <v>4</v>
      </c>
      <c r="B167" s="122" t="s">
        <v>73</v>
      </c>
      <c r="C167" s="267">
        <v>150000</v>
      </c>
      <c r="D167" s="277">
        <v>0</v>
      </c>
    </row>
    <row r="168" spans="1:4" s="39" customFormat="1" ht="37.5">
      <c r="A168" s="124" t="s">
        <v>4</v>
      </c>
      <c r="B168" s="122" t="s">
        <v>74</v>
      </c>
      <c r="C168" s="267">
        <v>100000</v>
      </c>
      <c r="D168" s="266">
        <v>0</v>
      </c>
    </row>
    <row r="169" spans="1:4" s="39" customFormat="1" ht="21.75" customHeight="1">
      <c r="A169" s="106" t="s">
        <v>284</v>
      </c>
      <c r="B169" s="122" t="s">
        <v>301</v>
      </c>
      <c r="C169" s="267">
        <v>100000</v>
      </c>
      <c r="D169" s="266">
        <v>0</v>
      </c>
    </row>
    <row r="170" spans="1:4" s="39" customFormat="1" ht="18.75">
      <c r="A170" s="106" t="s">
        <v>285</v>
      </c>
      <c r="B170" s="107" t="s">
        <v>479</v>
      </c>
      <c r="C170" s="267">
        <v>135000</v>
      </c>
      <c r="D170" s="266">
        <v>0</v>
      </c>
    </row>
    <row r="171" spans="1:4" s="39" customFormat="1" ht="18.75">
      <c r="A171" s="106" t="s">
        <v>286</v>
      </c>
      <c r="B171" s="107" t="s">
        <v>277</v>
      </c>
      <c r="C171" s="267">
        <v>114180</v>
      </c>
      <c r="D171" s="266">
        <v>0</v>
      </c>
    </row>
    <row r="172" spans="1:6" ht="18.75">
      <c r="A172" s="106">
        <v>2</v>
      </c>
      <c r="B172" s="127" t="s">
        <v>478</v>
      </c>
      <c r="C172" s="267">
        <v>17032000</v>
      </c>
      <c r="D172" s="267">
        <v>270000</v>
      </c>
      <c r="E172" s="36"/>
      <c r="F172" s="36"/>
    </row>
    <row r="173" spans="1:6" ht="18.75">
      <c r="A173" s="106" t="s">
        <v>75</v>
      </c>
      <c r="B173" s="99" t="s">
        <v>76</v>
      </c>
      <c r="C173" s="267">
        <v>5891160</v>
      </c>
      <c r="D173" s="267">
        <v>45000</v>
      </c>
      <c r="E173" s="36"/>
      <c r="F173" s="36"/>
    </row>
    <row r="174" spans="1:6" ht="18.75">
      <c r="A174" s="124" t="s">
        <v>4</v>
      </c>
      <c r="B174" s="99" t="s">
        <v>77</v>
      </c>
      <c r="C174" s="267">
        <v>3189000</v>
      </c>
      <c r="D174" s="267">
        <v>45000</v>
      </c>
      <c r="E174" s="36"/>
      <c r="F174" s="36"/>
    </row>
    <row r="175" spans="1:6" ht="18.75">
      <c r="A175" s="124" t="s">
        <v>4</v>
      </c>
      <c r="B175" s="122" t="s">
        <v>71</v>
      </c>
      <c r="C175" s="267">
        <v>350000</v>
      </c>
      <c r="D175" s="267">
        <v>0</v>
      </c>
      <c r="E175" s="36"/>
      <c r="F175" s="36"/>
    </row>
    <row r="176" spans="1:6" ht="34.5" customHeight="1">
      <c r="A176" s="124" t="s">
        <v>4</v>
      </c>
      <c r="B176" s="122" t="s">
        <v>480</v>
      </c>
      <c r="C176" s="267">
        <v>107000</v>
      </c>
      <c r="D176" s="267">
        <v>0</v>
      </c>
      <c r="E176" s="36"/>
      <c r="F176" s="36"/>
    </row>
    <row r="177" spans="1:4" s="37" customFormat="1" ht="18.75">
      <c r="A177" s="124" t="s">
        <v>4</v>
      </c>
      <c r="B177" s="122" t="s">
        <v>275</v>
      </c>
      <c r="C177" s="267">
        <v>250000</v>
      </c>
      <c r="D177" s="263">
        <v>0</v>
      </c>
    </row>
    <row r="178" spans="1:6" ht="18.75">
      <c r="A178" s="124" t="s">
        <v>4</v>
      </c>
      <c r="B178" s="122" t="s">
        <v>276</v>
      </c>
      <c r="C178" s="267">
        <v>200000</v>
      </c>
      <c r="D178" s="267">
        <v>0</v>
      </c>
      <c r="E178" s="36"/>
      <c r="F178" s="36"/>
    </row>
    <row r="179" spans="1:6" ht="37.5" customHeight="1">
      <c r="A179" s="124" t="s">
        <v>4</v>
      </c>
      <c r="B179" s="122" t="s">
        <v>304</v>
      </c>
      <c r="C179" s="267">
        <v>350000</v>
      </c>
      <c r="D179" s="267">
        <v>0</v>
      </c>
      <c r="E179" s="36"/>
      <c r="F179" s="36"/>
    </row>
    <row r="180" spans="1:4" s="37" customFormat="1" ht="34.5" customHeight="1">
      <c r="A180" s="124" t="s">
        <v>4</v>
      </c>
      <c r="B180" s="122" t="s">
        <v>481</v>
      </c>
      <c r="C180" s="267">
        <v>570000</v>
      </c>
      <c r="D180" s="263">
        <v>0</v>
      </c>
    </row>
    <row r="181" spans="1:6" ht="22.5" customHeight="1">
      <c r="A181" s="124" t="s">
        <v>4</v>
      </c>
      <c r="B181" s="122" t="s">
        <v>482</v>
      </c>
      <c r="C181" s="267">
        <v>120000</v>
      </c>
      <c r="D181" s="267">
        <v>0</v>
      </c>
      <c r="E181" s="36"/>
      <c r="F181" s="36"/>
    </row>
    <row r="182" spans="1:6" ht="19.5" customHeight="1">
      <c r="A182" s="124" t="s">
        <v>4</v>
      </c>
      <c r="B182" s="99" t="s">
        <v>313</v>
      </c>
      <c r="C182" s="267">
        <v>44160</v>
      </c>
      <c r="D182" s="267">
        <v>0</v>
      </c>
      <c r="E182" s="36"/>
      <c r="F182" s="36"/>
    </row>
    <row r="183" spans="1:4" s="37" customFormat="1" ht="18.75" customHeight="1">
      <c r="A183" s="124" t="s">
        <v>4</v>
      </c>
      <c r="B183" s="99" t="s">
        <v>78</v>
      </c>
      <c r="C183" s="267">
        <v>545000</v>
      </c>
      <c r="D183" s="263">
        <v>0</v>
      </c>
    </row>
    <row r="184" spans="1:4" s="37" customFormat="1" ht="20.25" customHeight="1">
      <c r="A184" s="124" t="s">
        <v>4</v>
      </c>
      <c r="B184" s="99" t="s">
        <v>79</v>
      </c>
      <c r="C184" s="267">
        <v>166000</v>
      </c>
      <c r="D184" s="263">
        <v>0</v>
      </c>
    </row>
    <row r="185" spans="1:6" ht="18.75">
      <c r="A185" s="106" t="s">
        <v>80</v>
      </c>
      <c r="B185" s="99" t="s">
        <v>81</v>
      </c>
      <c r="C185" s="267">
        <v>1393000</v>
      </c>
      <c r="D185" s="267">
        <v>25000</v>
      </c>
      <c r="E185" s="36"/>
      <c r="F185" s="36"/>
    </row>
    <row r="186" spans="1:6" ht="18.75">
      <c r="A186" s="106" t="s">
        <v>82</v>
      </c>
      <c r="B186" s="99" t="s">
        <v>9</v>
      </c>
      <c r="C186" s="267">
        <v>896700</v>
      </c>
      <c r="D186" s="267">
        <v>20000</v>
      </c>
      <c r="E186" s="36"/>
      <c r="F186" s="36"/>
    </row>
    <row r="187" spans="1:6" ht="18.75">
      <c r="A187" s="106" t="s">
        <v>83</v>
      </c>
      <c r="B187" s="99" t="s">
        <v>8</v>
      </c>
      <c r="C187" s="267">
        <v>507000</v>
      </c>
      <c r="D187" s="267">
        <v>15000</v>
      </c>
      <c r="E187" s="36"/>
      <c r="F187" s="36"/>
    </row>
    <row r="188" spans="1:6" ht="18.75">
      <c r="A188" s="124" t="s">
        <v>4</v>
      </c>
      <c r="B188" s="99" t="s">
        <v>84</v>
      </c>
      <c r="C188" s="267">
        <v>105000</v>
      </c>
      <c r="D188" s="263">
        <v>0</v>
      </c>
      <c r="E188" s="36"/>
      <c r="F188" s="36"/>
    </row>
    <row r="189" spans="1:6" ht="18.75">
      <c r="A189" s="106" t="s">
        <v>287</v>
      </c>
      <c r="B189" s="99" t="s">
        <v>333</v>
      </c>
      <c r="C189" s="267">
        <v>798500</v>
      </c>
      <c r="D189" s="267">
        <v>20000</v>
      </c>
      <c r="E189" s="36"/>
      <c r="F189" s="36"/>
    </row>
    <row r="190" spans="1:6" ht="18.75">
      <c r="A190" s="106" t="s">
        <v>288</v>
      </c>
      <c r="B190" s="99" t="s">
        <v>483</v>
      </c>
      <c r="C190" s="267">
        <v>952000</v>
      </c>
      <c r="D190" s="267">
        <v>20000</v>
      </c>
      <c r="E190" s="36"/>
      <c r="F190" s="36"/>
    </row>
    <row r="191" spans="1:6" ht="18.75">
      <c r="A191" s="106" t="s">
        <v>289</v>
      </c>
      <c r="B191" s="99" t="s">
        <v>85</v>
      </c>
      <c r="C191" s="267">
        <v>757000</v>
      </c>
      <c r="D191" s="267">
        <v>20000</v>
      </c>
      <c r="E191" s="36"/>
      <c r="F191" s="36"/>
    </row>
    <row r="192" spans="1:6" ht="18.75">
      <c r="A192" s="106" t="s">
        <v>290</v>
      </c>
      <c r="B192" s="99" t="s">
        <v>484</v>
      </c>
      <c r="C192" s="267">
        <v>881160</v>
      </c>
      <c r="D192" s="267">
        <v>20000</v>
      </c>
      <c r="E192" s="36"/>
      <c r="F192" s="36"/>
    </row>
    <row r="193" spans="1:6" ht="21" customHeight="1">
      <c r="A193" s="106" t="s">
        <v>4</v>
      </c>
      <c r="B193" s="122" t="s">
        <v>272</v>
      </c>
      <c r="C193" s="267">
        <v>44160</v>
      </c>
      <c r="D193" s="263">
        <v>0</v>
      </c>
      <c r="E193" s="36"/>
      <c r="F193" s="36"/>
    </row>
    <row r="194" spans="1:6" ht="20.25" customHeight="1">
      <c r="A194" s="106" t="s">
        <v>4</v>
      </c>
      <c r="B194" s="122" t="s">
        <v>86</v>
      </c>
      <c r="C194" s="267">
        <v>10000</v>
      </c>
      <c r="D194" s="263">
        <v>0</v>
      </c>
      <c r="E194" s="36"/>
      <c r="F194" s="36"/>
    </row>
    <row r="195" spans="1:6" ht="19.5" customHeight="1">
      <c r="A195" s="106" t="s">
        <v>291</v>
      </c>
      <c r="B195" s="99" t="s">
        <v>87</v>
      </c>
      <c r="C195" s="267">
        <v>826000</v>
      </c>
      <c r="D195" s="267">
        <v>25000</v>
      </c>
      <c r="E195" s="36"/>
      <c r="F195" s="36"/>
    </row>
    <row r="196" spans="1:6" ht="17.25" customHeight="1">
      <c r="A196" s="106" t="s">
        <v>292</v>
      </c>
      <c r="B196" s="127" t="s">
        <v>485</v>
      </c>
      <c r="C196" s="267">
        <v>382000</v>
      </c>
      <c r="D196" s="267">
        <v>15000</v>
      </c>
      <c r="E196" s="36"/>
      <c r="F196" s="36"/>
    </row>
    <row r="197" spans="1:6" ht="18.75">
      <c r="A197" s="106" t="s">
        <v>293</v>
      </c>
      <c r="B197" s="127" t="s">
        <v>88</v>
      </c>
      <c r="C197" s="267">
        <v>571000</v>
      </c>
      <c r="D197" s="267">
        <v>15000</v>
      </c>
      <c r="E197" s="36"/>
      <c r="F197" s="36"/>
    </row>
    <row r="198" spans="1:6" ht="18.75">
      <c r="A198" s="106" t="s">
        <v>294</v>
      </c>
      <c r="B198" s="127" t="s">
        <v>50</v>
      </c>
      <c r="C198" s="267">
        <v>748600</v>
      </c>
      <c r="D198" s="267">
        <v>15000</v>
      </c>
      <c r="E198" s="36"/>
      <c r="F198" s="36"/>
    </row>
    <row r="199" spans="1:6" ht="18.75">
      <c r="A199" s="106" t="s">
        <v>295</v>
      </c>
      <c r="B199" s="127" t="s">
        <v>381</v>
      </c>
      <c r="C199" s="267">
        <v>829160</v>
      </c>
      <c r="D199" s="267">
        <v>15000</v>
      </c>
      <c r="E199" s="36"/>
      <c r="F199" s="36"/>
    </row>
    <row r="200" spans="1:4" s="4" customFormat="1" ht="18.75">
      <c r="A200" s="106" t="s">
        <v>4</v>
      </c>
      <c r="B200" s="122" t="s">
        <v>314</v>
      </c>
      <c r="C200" s="267">
        <v>49160</v>
      </c>
      <c r="D200" s="267">
        <v>0</v>
      </c>
    </row>
    <row r="201" spans="1:4" s="4" customFormat="1" ht="18.75">
      <c r="A201" s="106" t="s">
        <v>296</v>
      </c>
      <c r="B201" s="104" t="s">
        <v>486</v>
      </c>
      <c r="C201" s="267">
        <v>100000</v>
      </c>
      <c r="D201" s="267">
        <v>0</v>
      </c>
    </row>
    <row r="202" spans="1:4" s="4" customFormat="1" ht="18.75">
      <c r="A202" s="106" t="s">
        <v>297</v>
      </c>
      <c r="B202" s="104" t="s">
        <v>89</v>
      </c>
      <c r="C202" s="267">
        <v>150000</v>
      </c>
      <c r="D202" s="267">
        <v>0</v>
      </c>
    </row>
    <row r="203" spans="1:4" s="18" customFormat="1" ht="18.75">
      <c r="A203" s="106" t="s">
        <v>298</v>
      </c>
      <c r="B203" s="104" t="s">
        <v>310</v>
      </c>
      <c r="C203" s="267">
        <v>1000000</v>
      </c>
      <c r="D203" s="266">
        <v>0</v>
      </c>
    </row>
    <row r="204" spans="1:4" s="18" customFormat="1" ht="18.75">
      <c r="A204" s="106" t="s">
        <v>4</v>
      </c>
      <c r="B204" s="126" t="s">
        <v>387</v>
      </c>
      <c r="C204" s="267">
        <v>100000</v>
      </c>
      <c r="D204" s="266">
        <v>0</v>
      </c>
    </row>
    <row r="205" spans="1:4" s="18" customFormat="1" ht="18.75">
      <c r="A205" s="106" t="s">
        <v>4</v>
      </c>
      <c r="B205" s="126" t="s">
        <v>442</v>
      </c>
      <c r="C205" s="267">
        <v>100000</v>
      </c>
      <c r="D205" s="266">
        <v>0</v>
      </c>
    </row>
    <row r="206" spans="1:4" s="18" customFormat="1" ht="18.75">
      <c r="A206" s="106" t="s">
        <v>4</v>
      </c>
      <c r="B206" s="126" t="s">
        <v>443</v>
      </c>
      <c r="C206" s="267">
        <v>100000</v>
      </c>
      <c r="D206" s="266">
        <v>0</v>
      </c>
    </row>
    <row r="207" spans="1:4" s="18" customFormat="1" ht="18.75">
      <c r="A207" s="106" t="s">
        <v>4</v>
      </c>
      <c r="B207" s="126" t="s">
        <v>444</v>
      </c>
      <c r="C207" s="267">
        <v>100000</v>
      </c>
      <c r="D207" s="266">
        <v>0</v>
      </c>
    </row>
    <row r="208" spans="1:4" s="4" customFormat="1" ht="18.75">
      <c r="A208" s="106" t="s">
        <v>4</v>
      </c>
      <c r="B208" s="126" t="s">
        <v>445</v>
      </c>
      <c r="C208" s="267">
        <v>100000</v>
      </c>
      <c r="D208" s="267">
        <v>0</v>
      </c>
    </row>
    <row r="209" spans="1:4" s="4" customFormat="1" ht="18.75">
      <c r="A209" s="106" t="s">
        <v>4</v>
      </c>
      <c r="B209" s="126" t="s">
        <v>446</v>
      </c>
      <c r="C209" s="267">
        <v>100000</v>
      </c>
      <c r="D209" s="267">
        <v>0</v>
      </c>
    </row>
    <row r="210" spans="1:4" s="16" customFormat="1" ht="24.75" customHeight="1">
      <c r="A210" s="106" t="s">
        <v>4</v>
      </c>
      <c r="B210" s="126" t="s">
        <v>447</v>
      </c>
      <c r="C210" s="267">
        <v>100000</v>
      </c>
      <c r="D210" s="263">
        <v>0</v>
      </c>
    </row>
    <row r="211" spans="1:4" s="4" customFormat="1" ht="18.75">
      <c r="A211" s="106" t="s">
        <v>4</v>
      </c>
      <c r="B211" s="126" t="s">
        <v>400</v>
      </c>
      <c r="C211" s="267">
        <v>100000</v>
      </c>
      <c r="D211" s="267">
        <v>0</v>
      </c>
    </row>
    <row r="212" spans="1:4" s="4" customFormat="1" ht="18.75">
      <c r="A212" s="106" t="s">
        <v>4</v>
      </c>
      <c r="B212" s="104" t="s">
        <v>487</v>
      </c>
      <c r="C212" s="267">
        <v>200000</v>
      </c>
      <c r="D212" s="267">
        <v>0</v>
      </c>
    </row>
    <row r="213" spans="1:4" s="4" customFormat="1" ht="18.75">
      <c r="A213" s="106" t="s">
        <v>309</v>
      </c>
      <c r="B213" s="107" t="s">
        <v>311</v>
      </c>
      <c r="C213" s="267">
        <v>91000</v>
      </c>
      <c r="D213" s="267">
        <v>0</v>
      </c>
    </row>
    <row r="214" spans="1:4" s="18" customFormat="1" ht="16.5" customHeight="1">
      <c r="A214" s="106" t="s">
        <v>4</v>
      </c>
      <c r="B214" s="126" t="s">
        <v>387</v>
      </c>
      <c r="C214" s="267">
        <v>9500</v>
      </c>
      <c r="D214" s="266">
        <v>0</v>
      </c>
    </row>
    <row r="215" spans="1:4" s="18" customFormat="1" ht="18.75">
      <c r="A215" s="106" t="s">
        <v>4</v>
      </c>
      <c r="B215" s="126" t="s">
        <v>442</v>
      </c>
      <c r="C215" s="267">
        <v>9500</v>
      </c>
      <c r="D215" s="266">
        <v>0</v>
      </c>
    </row>
    <row r="216" spans="1:4" s="16" customFormat="1" ht="22.5" customHeight="1">
      <c r="A216" s="106" t="s">
        <v>4</v>
      </c>
      <c r="B216" s="126" t="s">
        <v>443</v>
      </c>
      <c r="C216" s="267">
        <v>9500</v>
      </c>
      <c r="D216" s="263">
        <v>0</v>
      </c>
    </row>
    <row r="217" spans="1:6" ht="18.75">
      <c r="A217" s="106" t="s">
        <v>4</v>
      </c>
      <c r="B217" s="126" t="s">
        <v>444</v>
      </c>
      <c r="C217" s="267">
        <v>9500</v>
      </c>
      <c r="D217" s="267">
        <v>0</v>
      </c>
      <c r="E217" s="36"/>
      <c r="F217" s="36"/>
    </row>
    <row r="218" spans="1:6" ht="19.5" customHeight="1">
      <c r="A218" s="106" t="s">
        <v>4</v>
      </c>
      <c r="B218" s="126" t="s">
        <v>445</v>
      </c>
      <c r="C218" s="267">
        <v>9500</v>
      </c>
      <c r="D218" s="267">
        <v>0</v>
      </c>
      <c r="E218" s="36"/>
      <c r="F218" s="36"/>
    </row>
    <row r="219" spans="1:6" ht="18.75">
      <c r="A219" s="106" t="s">
        <v>4</v>
      </c>
      <c r="B219" s="126" t="s">
        <v>446</v>
      </c>
      <c r="C219" s="267">
        <v>9500</v>
      </c>
      <c r="D219" s="267">
        <v>0</v>
      </c>
      <c r="E219" s="36"/>
      <c r="F219" s="36"/>
    </row>
    <row r="220" spans="1:6" ht="18.75">
      <c r="A220" s="106" t="s">
        <v>4</v>
      </c>
      <c r="B220" s="126" t="s">
        <v>447</v>
      </c>
      <c r="C220" s="267">
        <v>9500</v>
      </c>
      <c r="D220" s="267">
        <v>0</v>
      </c>
      <c r="E220" s="36"/>
      <c r="F220" s="36"/>
    </row>
    <row r="221" spans="1:6" ht="18.75">
      <c r="A221" s="106" t="s">
        <v>4</v>
      </c>
      <c r="B221" s="126" t="s">
        <v>400</v>
      </c>
      <c r="C221" s="267">
        <v>9500</v>
      </c>
      <c r="D221" s="267">
        <v>0</v>
      </c>
      <c r="E221" s="36"/>
      <c r="F221" s="36"/>
    </row>
    <row r="222" spans="1:6" ht="18.75">
      <c r="A222" s="106" t="s">
        <v>4</v>
      </c>
      <c r="B222" s="104" t="s">
        <v>8</v>
      </c>
      <c r="C222" s="267">
        <v>15000</v>
      </c>
      <c r="D222" s="267">
        <v>0</v>
      </c>
      <c r="E222" s="36"/>
      <c r="F222" s="36"/>
    </row>
    <row r="223" spans="1:6" ht="19.5" customHeight="1">
      <c r="A223" s="106" t="s">
        <v>312</v>
      </c>
      <c r="B223" s="104" t="s">
        <v>277</v>
      </c>
      <c r="C223" s="267">
        <v>257720</v>
      </c>
      <c r="D223" s="267">
        <v>0</v>
      </c>
      <c r="E223" s="36"/>
      <c r="F223" s="36"/>
    </row>
    <row r="224" spans="1:6" ht="18.75">
      <c r="A224" s="106">
        <v>3</v>
      </c>
      <c r="B224" s="99" t="s">
        <v>90</v>
      </c>
      <c r="C224" s="267">
        <v>5010000</v>
      </c>
      <c r="D224" s="267">
        <v>130000</v>
      </c>
      <c r="E224" s="36"/>
      <c r="F224" s="36"/>
    </row>
    <row r="225" spans="1:6" ht="18.75">
      <c r="A225" s="106" t="s">
        <v>91</v>
      </c>
      <c r="B225" s="99" t="s">
        <v>488</v>
      </c>
      <c r="C225" s="267">
        <v>1187020</v>
      </c>
      <c r="D225" s="267">
        <v>26000</v>
      </c>
      <c r="E225" s="36"/>
      <c r="F225" s="36"/>
    </row>
    <row r="226" spans="1:6" ht="18.75">
      <c r="A226" s="124" t="s">
        <v>4</v>
      </c>
      <c r="B226" s="99" t="s">
        <v>92</v>
      </c>
      <c r="C226" s="267">
        <v>965020</v>
      </c>
      <c r="D226" s="267">
        <v>26000</v>
      </c>
      <c r="E226" s="36"/>
      <c r="F226" s="36"/>
    </row>
    <row r="227" spans="1:6" ht="18.75">
      <c r="A227" s="124" t="s">
        <v>4</v>
      </c>
      <c r="B227" s="122" t="s">
        <v>489</v>
      </c>
      <c r="C227" s="267">
        <v>50000</v>
      </c>
      <c r="D227" s="267">
        <v>0</v>
      </c>
      <c r="E227" s="36"/>
      <c r="F227" s="36"/>
    </row>
    <row r="228" spans="1:6" ht="18.75">
      <c r="A228" s="124" t="s">
        <v>4</v>
      </c>
      <c r="B228" s="122" t="s">
        <v>490</v>
      </c>
      <c r="C228" s="267">
        <v>50000</v>
      </c>
      <c r="D228" s="267">
        <v>0</v>
      </c>
      <c r="E228" s="36"/>
      <c r="F228" s="36"/>
    </row>
    <row r="229" spans="1:6" ht="18.75">
      <c r="A229" s="124" t="s">
        <v>4</v>
      </c>
      <c r="B229" s="99" t="s">
        <v>491</v>
      </c>
      <c r="C229" s="267">
        <v>122000</v>
      </c>
      <c r="D229" s="267">
        <v>0</v>
      </c>
      <c r="E229" s="36"/>
      <c r="F229" s="36"/>
    </row>
    <row r="230" spans="1:6" ht="18.75">
      <c r="A230" s="106" t="s">
        <v>94</v>
      </c>
      <c r="B230" s="99" t="s">
        <v>493</v>
      </c>
      <c r="C230" s="267">
        <v>739000</v>
      </c>
      <c r="D230" s="267">
        <v>26000</v>
      </c>
      <c r="E230" s="36"/>
      <c r="F230" s="36"/>
    </row>
    <row r="231" spans="1:6" ht="18.75">
      <c r="A231" s="106" t="s">
        <v>95</v>
      </c>
      <c r="B231" s="99" t="s">
        <v>96</v>
      </c>
      <c r="C231" s="267">
        <v>1037500</v>
      </c>
      <c r="D231" s="267">
        <v>26000</v>
      </c>
      <c r="E231" s="36"/>
      <c r="F231" s="36"/>
    </row>
    <row r="232" spans="1:6" ht="18.75">
      <c r="A232" s="106" t="s">
        <v>97</v>
      </c>
      <c r="B232" s="99" t="s">
        <v>98</v>
      </c>
      <c r="C232" s="267">
        <v>891000</v>
      </c>
      <c r="D232" s="267">
        <v>26000</v>
      </c>
      <c r="E232" s="36"/>
      <c r="F232" s="36"/>
    </row>
    <row r="233" spans="1:6" ht="18.75">
      <c r="A233" s="106" t="s">
        <v>99</v>
      </c>
      <c r="B233" s="99" t="s">
        <v>10</v>
      </c>
      <c r="C233" s="267">
        <v>732500</v>
      </c>
      <c r="D233" s="267">
        <v>26000</v>
      </c>
      <c r="E233" s="36"/>
      <c r="F233" s="36"/>
    </row>
    <row r="234" spans="1:6" ht="18.75">
      <c r="A234" s="128"/>
      <c r="B234" s="122" t="s">
        <v>100</v>
      </c>
      <c r="C234" s="267">
        <v>50000</v>
      </c>
      <c r="D234" s="267">
        <v>0</v>
      </c>
      <c r="E234" s="36"/>
      <c r="F234" s="36"/>
    </row>
    <row r="235" spans="1:6" ht="18.75">
      <c r="A235" s="106" t="s">
        <v>101</v>
      </c>
      <c r="B235" s="122" t="s">
        <v>301</v>
      </c>
      <c r="C235" s="267">
        <v>50000</v>
      </c>
      <c r="D235" s="267">
        <v>0</v>
      </c>
      <c r="E235" s="36"/>
      <c r="F235" s="36"/>
    </row>
    <row r="236" spans="1:6" ht="18.75">
      <c r="A236" s="106" t="s">
        <v>102</v>
      </c>
      <c r="B236" s="107" t="s">
        <v>103</v>
      </c>
      <c r="C236" s="263">
        <v>0</v>
      </c>
      <c r="D236" s="267">
        <v>0</v>
      </c>
      <c r="E236" s="36"/>
      <c r="F236" s="36"/>
    </row>
    <row r="237" spans="1:6" ht="18.75">
      <c r="A237" s="106" t="s">
        <v>104</v>
      </c>
      <c r="B237" s="107" t="s">
        <v>300</v>
      </c>
      <c r="C237" s="267">
        <v>185000</v>
      </c>
      <c r="D237" s="267">
        <v>0</v>
      </c>
      <c r="E237" s="36"/>
      <c r="F237" s="36"/>
    </row>
    <row r="238" spans="1:6" ht="18.75">
      <c r="A238" s="106" t="s">
        <v>105</v>
      </c>
      <c r="B238" s="104" t="s">
        <v>277</v>
      </c>
      <c r="C238" s="267">
        <v>187980</v>
      </c>
      <c r="D238" s="267">
        <v>0</v>
      </c>
      <c r="E238" s="36"/>
      <c r="F238" s="36"/>
    </row>
    <row r="239" spans="1:6" ht="18.75">
      <c r="A239" s="106">
        <v>4</v>
      </c>
      <c r="B239" s="107" t="s">
        <v>315</v>
      </c>
      <c r="C239" s="267">
        <v>1200000</v>
      </c>
      <c r="D239" s="267">
        <v>0</v>
      </c>
      <c r="E239" s="36"/>
      <c r="F239" s="36"/>
    </row>
    <row r="240" spans="1:6" ht="18.75">
      <c r="A240" s="106">
        <v>5</v>
      </c>
      <c r="B240" s="104" t="s">
        <v>492</v>
      </c>
      <c r="C240" s="267">
        <v>1566000</v>
      </c>
      <c r="D240" s="267">
        <v>0</v>
      </c>
      <c r="E240" s="36"/>
      <c r="F240" s="36"/>
    </row>
    <row r="241" spans="1:6" ht="18.75">
      <c r="A241" s="106" t="s">
        <v>316</v>
      </c>
      <c r="B241" s="127" t="s">
        <v>65</v>
      </c>
      <c r="C241" s="267">
        <v>780000</v>
      </c>
      <c r="D241" s="267">
        <v>0</v>
      </c>
      <c r="E241" s="36"/>
      <c r="F241" s="36"/>
    </row>
    <row r="242" spans="1:6" ht="18.75">
      <c r="A242" s="106" t="s">
        <v>317</v>
      </c>
      <c r="B242" s="127" t="s">
        <v>478</v>
      </c>
      <c r="C242" s="267">
        <v>786000</v>
      </c>
      <c r="D242" s="267">
        <v>0</v>
      </c>
      <c r="E242" s="36"/>
      <c r="F242" s="36"/>
    </row>
    <row r="243" spans="1:6" ht="18.75">
      <c r="A243" s="124" t="s">
        <v>4</v>
      </c>
      <c r="B243" s="99" t="s">
        <v>76</v>
      </c>
      <c r="C243" s="267">
        <v>100000</v>
      </c>
      <c r="D243" s="267">
        <v>0</v>
      </c>
      <c r="E243" s="36"/>
      <c r="F243" s="36"/>
    </row>
    <row r="244" spans="1:6" ht="18.75">
      <c r="A244" s="124" t="s">
        <v>4</v>
      </c>
      <c r="B244" s="99" t="s">
        <v>81</v>
      </c>
      <c r="C244" s="267">
        <v>196000</v>
      </c>
      <c r="D244" s="267">
        <v>0</v>
      </c>
      <c r="E244" s="36"/>
      <c r="F244" s="36"/>
    </row>
    <row r="245" spans="1:6" ht="18.75">
      <c r="A245" s="124" t="s">
        <v>4</v>
      </c>
      <c r="B245" s="99" t="s">
        <v>9</v>
      </c>
      <c r="C245" s="267">
        <v>98000</v>
      </c>
      <c r="D245" s="267">
        <v>0</v>
      </c>
      <c r="E245" s="36"/>
      <c r="F245" s="36"/>
    </row>
    <row r="246" spans="1:6" ht="18.75">
      <c r="A246" s="124" t="s">
        <v>4</v>
      </c>
      <c r="B246" s="99" t="s">
        <v>8</v>
      </c>
      <c r="C246" s="267">
        <v>98000</v>
      </c>
      <c r="D246" s="267">
        <v>0</v>
      </c>
      <c r="E246" s="36"/>
      <c r="F246" s="36"/>
    </row>
    <row r="247" spans="1:6" ht="18.75">
      <c r="A247" s="124" t="s">
        <v>4</v>
      </c>
      <c r="B247" s="99" t="s">
        <v>483</v>
      </c>
      <c r="C247" s="267">
        <v>98000</v>
      </c>
      <c r="D247" s="267">
        <v>0</v>
      </c>
      <c r="E247" s="36"/>
      <c r="F247" s="36"/>
    </row>
    <row r="248" spans="1:6" ht="18.75">
      <c r="A248" s="124" t="s">
        <v>4</v>
      </c>
      <c r="B248" s="99" t="s">
        <v>85</v>
      </c>
      <c r="C248" s="267">
        <v>98000</v>
      </c>
      <c r="D248" s="267">
        <v>0</v>
      </c>
      <c r="E248" s="36"/>
      <c r="F248" s="36"/>
    </row>
    <row r="249" spans="1:6" ht="18.75">
      <c r="A249" s="124" t="s">
        <v>4</v>
      </c>
      <c r="B249" s="99" t="s">
        <v>87</v>
      </c>
      <c r="C249" s="267">
        <v>98000</v>
      </c>
      <c r="D249" s="267">
        <v>0</v>
      </c>
      <c r="E249" s="36"/>
      <c r="F249" s="36"/>
    </row>
    <row r="250" spans="1:6" ht="18.75">
      <c r="A250" s="106" t="s">
        <v>318</v>
      </c>
      <c r="B250" s="99" t="s">
        <v>90</v>
      </c>
      <c r="C250" s="267">
        <v>0</v>
      </c>
      <c r="D250" s="267">
        <v>0</v>
      </c>
      <c r="E250" s="36"/>
      <c r="F250" s="36"/>
    </row>
    <row r="251" spans="1:6" ht="18.75">
      <c r="A251" s="106" t="s">
        <v>319</v>
      </c>
      <c r="B251" s="99" t="s">
        <v>277</v>
      </c>
      <c r="C251" s="267">
        <v>0</v>
      </c>
      <c r="D251" s="267">
        <v>0</v>
      </c>
      <c r="E251" s="36"/>
      <c r="F251" s="36"/>
    </row>
    <row r="252" spans="1:6" ht="18.75">
      <c r="A252" s="106">
        <v>6</v>
      </c>
      <c r="B252" s="107" t="s">
        <v>106</v>
      </c>
      <c r="C252" s="267">
        <v>38593000</v>
      </c>
      <c r="D252" s="267">
        <v>190000</v>
      </c>
      <c r="E252" s="36"/>
      <c r="F252" s="36"/>
    </row>
    <row r="253" spans="1:6" ht="18.75">
      <c r="A253" s="106" t="s">
        <v>4</v>
      </c>
      <c r="B253" s="107" t="s">
        <v>385</v>
      </c>
      <c r="C253" s="267">
        <v>38165460.316</v>
      </c>
      <c r="D253" s="267">
        <v>190000</v>
      </c>
      <c r="E253" s="36"/>
      <c r="F253" s="36"/>
    </row>
    <row r="254" spans="1:6" ht="18.75">
      <c r="A254" s="106" t="s">
        <v>4</v>
      </c>
      <c r="B254" s="107" t="s">
        <v>277</v>
      </c>
      <c r="C254" s="267">
        <v>427539.68400000036</v>
      </c>
      <c r="D254" s="267">
        <v>0</v>
      </c>
      <c r="E254" s="36"/>
      <c r="F254" s="36"/>
    </row>
    <row r="255" spans="1:6" ht="18.75">
      <c r="A255" s="121" t="s">
        <v>107</v>
      </c>
      <c r="B255" s="101" t="s">
        <v>108</v>
      </c>
      <c r="C255" s="263">
        <v>2214000</v>
      </c>
      <c r="D255" s="263">
        <v>10000</v>
      </c>
      <c r="E255" s="36"/>
      <c r="F255" s="36"/>
    </row>
    <row r="256" spans="1:6" ht="18.75">
      <c r="A256" s="106">
        <v>1</v>
      </c>
      <c r="B256" s="99" t="s">
        <v>494</v>
      </c>
      <c r="C256" s="267">
        <v>748200</v>
      </c>
      <c r="D256" s="267">
        <v>10000</v>
      </c>
      <c r="E256" s="36"/>
      <c r="F256" s="36"/>
    </row>
    <row r="257" spans="1:6" ht="23.25" customHeight="1">
      <c r="A257" s="106">
        <v>2</v>
      </c>
      <c r="B257" s="122" t="s">
        <v>109</v>
      </c>
      <c r="C257" s="267">
        <v>50000</v>
      </c>
      <c r="D257" s="267">
        <v>0</v>
      </c>
      <c r="E257" s="36"/>
      <c r="F257" s="36"/>
    </row>
    <row r="258" spans="1:6" ht="18.75">
      <c r="A258" s="106">
        <v>3</v>
      </c>
      <c r="B258" s="107" t="s">
        <v>495</v>
      </c>
      <c r="C258" s="267">
        <v>120000</v>
      </c>
      <c r="D258" s="267">
        <v>0</v>
      </c>
      <c r="E258" s="36"/>
      <c r="F258" s="36"/>
    </row>
    <row r="259" spans="1:6" ht="18.75">
      <c r="A259" s="106">
        <v>4</v>
      </c>
      <c r="B259" s="104" t="s">
        <v>111</v>
      </c>
      <c r="C259" s="267">
        <v>330000</v>
      </c>
      <c r="D259" s="267">
        <v>0</v>
      </c>
      <c r="E259" s="36"/>
      <c r="F259" s="36"/>
    </row>
    <row r="260" spans="1:6" ht="18.75">
      <c r="A260" s="106">
        <v>5</v>
      </c>
      <c r="B260" s="104" t="s">
        <v>281</v>
      </c>
      <c r="C260" s="267">
        <v>510000</v>
      </c>
      <c r="D260" s="267">
        <v>0</v>
      </c>
      <c r="E260" s="36"/>
      <c r="F260" s="36"/>
    </row>
    <row r="261" spans="1:6" ht="18.75">
      <c r="A261" s="106">
        <v>6</v>
      </c>
      <c r="B261" s="122" t="s">
        <v>112</v>
      </c>
      <c r="C261" s="267">
        <v>370000</v>
      </c>
      <c r="D261" s="267">
        <v>0</v>
      </c>
      <c r="E261" s="36"/>
      <c r="F261" s="36"/>
    </row>
    <row r="262" spans="1:6" ht="18.75">
      <c r="A262" s="106">
        <v>7</v>
      </c>
      <c r="B262" s="104" t="s">
        <v>277</v>
      </c>
      <c r="C262" s="267">
        <v>85800</v>
      </c>
      <c r="D262" s="267">
        <v>0</v>
      </c>
      <c r="E262" s="36"/>
      <c r="F262" s="36"/>
    </row>
    <row r="263" spans="1:6" ht="18.75">
      <c r="A263" s="121" t="s">
        <v>113</v>
      </c>
      <c r="B263" s="101" t="s">
        <v>114</v>
      </c>
      <c r="C263" s="263">
        <v>8884000</v>
      </c>
      <c r="D263" s="267">
        <v>0</v>
      </c>
      <c r="E263" s="36"/>
      <c r="F263" s="36"/>
    </row>
    <row r="264" spans="1:6" ht="18.75">
      <c r="A264" s="106">
        <v>1</v>
      </c>
      <c r="B264" s="104" t="s">
        <v>497</v>
      </c>
      <c r="C264" s="267">
        <v>1864300</v>
      </c>
      <c r="D264" s="267">
        <v>0</v>
      </c>
      <c r="E264" s="36"/>
      <c r="F264" s="36"/>
    </row>
    <row r="265" spans="1:6" ht="18.75">
      <c r="A265" s="106">
        <v>2</v>
      </c>
      <c r="B265" s="107" t="s">
        <v>496</v>
      </c>
      <c r="C265" s="267">
        <v>905000</v>
      </c>
      <c r="D265" s="267">
        <v>0</v>
      </c>
      <c r="E265" s="36"/>
      <c r="F265" s="36"/>
    </row>
    <row r="266" spans="1:6" ht="18.75">
      <c r="A266" s="124" t="s">
        <v>4</v>
      </c>
      <c r="B266" s="104" t="s">
        <v>116</v>
      </c>
      <c r="C266" s="267">
        <v>200000</v>
      </c>
      <c r="D266" s="267">
        <v>0</v>
      </c>
      <c r="E266" s="36"/>
      <c r="F266" s="36"/>
    </row>
    <row r="267" spans="1:6" ht="35.25" customHeight="1">
      <c r="A267" s="124" t="s">
        <v>4</v>
      </c>
      <c r="B267" s="107" t="s">
        <v>498</v>
      </c>
      <c r="C267" s="267">
        <v>705000</v>
      </c>
      <c r="D267" s="267">
        <v>0</v>
      </c>
      <c r="E267" s="36"/>
      <c r="F267" s="36"/>
    </row>
    <row r="268" spans="1:6" ht="18.75">
      <c r="A268" s="124">
        <v>3</v>
      </c>
      <c r="B268" s="104" t="s">
        <v>117</v>
      </c>
      <c r="C268" s="267">
        <v>300000</v>
      </c>
      <c r="D268" s="267">
        <v>0</v>
      </c>
      <c r="E268" s="36"/>
      <c r="F268" s="36"/>
    </row>
    <row r="269" spans="1:6" ht="18.75">
      <c r="A269" s="106">
        <v>4</v>
      </c>
      <c r="B269" s="104" t="s">
        <v>118</v>
      </c>
      <c r="C269" s="267">
        <v>970300</v>
      </c>
      <c r="D269" s="267">
        <v>0</v>
      </c>
      <c r="E269" s="36"/>
      <c r="F269" s="36"/>
    </row>
    <row r="270" spans="1:6" ht="18.75">
      <c r="A270" s="124" t="s">
        <v>4</v>
      </c>
      <c r="B270" s="104" t="s">
        <v>119</v>
      </c>
      <c r="C270" s="267">
        <v>18200</v>
      </c>
      <c r="D270" s="267">
        <v>0</v>
      </c>
      <c r="E270" s="36"/>
      <c r="F270" s="36"/>
    </row>
    <row r="271" spans="1:6" ht="18.75">
      <c r="A271" s="124" t="s">
        <v>4</v>
      </c>
      <c r="B271" s="107" t="s">
        <v>499</v>
      </c>
      <c r="C271" s="267">
        <v>18200</v>
      </c>
      <c r="D271" s="267">
        <v>0</v>
      </c>
      <c r="E271" s="36"/>
      <c r="F271" s="36"/>
    </row>
    <row r="272" spans="1:6" ht="18.75">
      <c r="A272" s="124" t="s">
        <v>4</v>
      </c>
      <c r="B272" s="107" t="s">
        <v>500</v>
      </c>
      <c r="C272" s="267">
        <v>18200</v>
      </c>
      <c r="D272" s="267">
        <v>0</v>
      </c>
      <c r="E272" s="36"/>
      <c r="F272" s="36"/>
    </row>
    <row r="273" spans="1:6" ht="18.75">
      <c r="A273" s="124" t="s">
        <v>4</v>
      </c>
      <c r="B273" s="104" t="s">
        <v>501</v>
      </c>
      <c r="C273" s="267">
        <v>227700</v>
      </c>
      <c r="D273" s="267">
        <v>0</v>
      </c>
      <c r="E273" s="36"/>
      <c r="F273" s="36"/>
    </row>
    <row r="274" spans="1:6" ht="18.75">
      <c r="A274" s="124" t="s">
        <v>4</v>
      </c>
      <c r="B274" s="104" t="s">
        <v>121</v>
      </c>
      <c r="C274" s="267">
        <v>608000</v>
      </c>
      <c r="D274" s="267">
        <v>0</v>
      </c>
      <c r="E274" s="36"/>
      <c r="F274" s="36"/>
    </row>
    <row r="275" spans="1:6" ht="18.75">
      <c r="A275" s="124" t="s">
        <v>4</v>
      </c>
      <c r="B275" s="104" t="s">
        <v>122</v>
      </c>
      <c r="C275" s="267">
        <v>80000</v>
      </c>
      <c r="D275" s="267">
        <v>0</v>
      </c>
      <c r="E275" s="36"/>
      <c r="F275" s="36"/>
    </row>
    <row r="276" spans="1:6" ht="21.75" customHeight="1">
      <c r="A276" s="124">
        <v>5</v>
      </c>
      <c r="B276" s="120" t="s">
        <v>320</v>
      </c>
      <c r="C276" s="267">
        <v>300000</v>
      </c>
      <c r="D276" s="267">
        <v>0</v>
      </c>
      <c r="E276" s="36"/>
      <c r="F276" s="36"/>
    </row>
    <row r="277" spans="1:6" ht="18.75">
      <c r="A277" s="106">
        <v>6</v>
      </c>
      <c r="B277" s="126" t="s">
        <v>502</v>
      </c>
      <c r="C277" s="267">
        <v>4544400</v>
      </c>
      <c r="D277" s="267">
        <v>0</v>
      </c>
      <c r="E277" s="36"/>
      <c r="F277" s="36"/>
    </row>
    <row r="278" spans="1:6" ht="18.75">
      <c r="A278" s="106" t="s">
        <v>4</v>
      </c>
      <c r="B278" s="126" t="s">
        <v>302</v>
      </c>
      <c r="C278" s="267">
        <v>3600000</v>
      </c>
      <c r="D278" s="267">
        <v>0</v>
      </c>
      <c r="E278" s="36"/>
      <c r="F278" s="36"/>
    </row>
    <row r="279" spans="1:6" ht="21" customHeight="1">
      <c r="A279" s="106" t="s">
        <v>11</v>
      </c>
      <c r="B279" s="120" t="s">
        <v>335</v>
      </c>
      <c r="C279" s="267">
        <v>600000</v>
      </c>
      <c r="D279" s="267">
        <v>0</v>
      </c>
      <c r="E279" s="36"/>
      <c r="F279" s="36"/>
    </row>
    <row r="280" spans="1:6" ht="51.75" customHeight="1">
      <c r="A280" s="106" t="s">
        <v>11</v>
      </c>
      <c r="B280" s="120" t="s">
        <v>503</v>
      </c>
      <c r="C280" s="267">
        <v>3000000</v>
      </c>
      <c r="D280" s="267">
        <v>0</v>
      </c>
      <c r="E280" s="36"/>
      <c r="F280" s="36"/>
    </row>
    <row r="281" spans="1:6" ht="18.75">
      <c r="A281" s="106" t="s">
        <v>4</v>
      </c>
      <c r="B281" s="126" t="s">
        <v>303</v>
      </c>
      <c r="C281" s="267">
        <v>625000</v>
      </c>
      <c r="D281" s="267">
        <v>0</v>
      </c>
      <c r="E281" s="36"/>
      <c r="F281" s="36"/>
    </row>
    <row r="282" spans="1:6" ht="23.25" customHeight="1">
      <c r="A282" s="106" t="s">
        <v>11</v>
      </c>
      <c r="B282" s="120" t="s">
        <v>335</v>
      </c>
      <c r="C282" s="267">
        <v>600000</v>
      </c>
      <c r="D282" s="267">
        <v>0</v>
      </c>
      <c r="E282" s="36"/>
      <c r="F282" s="36"/>
    </row>
    <row r="283" spans="1:6" ht="18.75">
      <c r="A283" s="106" t="s">
        <v>11</v>
      </c>
      <c r="B283" s="120" t="s">
        <v>336</v>
      </c>
      <c r="C283" s="267">
        <v>25000</v>
      </c>
      <c r="D283" s="267">
        <v>0</v>
      </c>
      <c r="E283" s="36"/>
      <c r="F283" s="36"/>
    </row>
    <row r="284" spans="1:6" ht="37.5">
      <c r="A284" s="106" t="s">
        <v>4</v>
      </c>
      <c r="B284" s="107" t="s">
        <v>504</v>
      </c>
      <c r="C284" s="267">
        <v>145000</v>
      </c>
      <c r="D284" s="267">
        <v>0</v>
      </c>
      <c r="E284" s="36"/>
      <c r="F284" s="36"/>
    </row>
    <row r="285" spans="1:6" ht="18.75">
      <c r="A285" s="106" t="s">
        <v>4</v>
      </c>
      <c r="B285" s="104" t="s">
        <v>277</v>
      </c>
      <c r="C285" s="267">
        <v>174400</v>
      </c>
      <c r="D285" s="267">
        <v>0</v>
      </c>
      <c r="E285" s="36"/>
      <c r="F285" s="36"/>
    </row>
    <row r="286" spans="1:6" ht="18.75">
      <c r="A286" s="121" t="s">
        <v>123</v>
      </c>
      <c r="B286" s="101" t="s">
        <v>124</v>
      </c>
      <c r="C286" s="263">
        <v>410000</v>
      </c>
      <c r="D286" s="267">
        <v>0</v>
      </c>
      <c r="E286" s="36"/>
      <c r="F286" s="36"/>
    </row>
    <row r="287" spans="1:6" ht="18.75">
      <c r="A287" s="106"/>
      <c r="B287" s="104" t="s">
        <v>125</v>
      </c>
      <c r="C287" s="267">
        <v>40000</v>
      </c>
      <c r="D287" s="267">
        <v>0</v>
      </c>
      <c r="E287" s="36"/>
      <c r="F287" s="36"/>
    </row>
    <row r="288" spans="1:6" ht="18.75">
      <c r="A288" s="106" t="s">
        <v>126</v>
      </c>
      <c r="B288" s="104" t="s">
        <v>384</v>
      </c>
      <c r="C288" s="267">
        <v>50000</v>
      </c>
      <c r="D288" s="267">
        <v>0</v>
      </c>
      <c r="E288" s="36"/>
      <c r="F288" s="36"/>
    </row>
    <row r="289" spans="1:6" ht="18.75">
      <c r="A289" s="121" t="s">
        <v>127</v>
      </c>
      <c r="B289" s="101" t="s">
        <v>128</v>
      </c>
      <c r="C289" s="263">
        <v>6106000</v>
      </c>
      <c r="D289" s="267">
        <v>0</v>
      </c>
      <c r="E289" s="36"/>
      <c r="F289" s="36"/>
    </row>
    <row r="290" spans="1:6" ht="18.75">
      <c r="A290" s="106">
        <v>1</v>
      </c>
      <c r="B290" s="104" t="s">
        <v>129</v>
      </c>
      <c r="C290" s="267">
        <v>5179000</v>
      </c>
      <c r="D290" s="267">
        <v>0</v>
      </c>
      <c r="E290" s="36"/>
      <c r="F290" s="36"/>
    </row>
    <row r="291" spans="1:6" ht="18.75">
      <c r="A291" s="106">
        <v>2</v>
      </c>
      <c r="B291" s="104" t="s">
        <v>130</v>
      </c>
      <c r="C291" s="267">
        <v>927000</v>
      </c>
      <c r="D291" s="267">
        <v>0</v>
      </c>
      <c r="E291" s="36"/>
      <c r="F291" s="36"/>
    </row>
    <row r="292" spans="1:6" ht="18.75">
      <c r="A292" s="121" t="s">
        <v>131</v>
      </c>
      <c r="B292" s="125" t="s">
        <v>505</v>
      </c>
      <c r="C292" s="263">
        <v>750000</v>
      </c>
      <c r="D292" s="267">
        <v>0</v>
      </c>
      <c r="E292" s="36"/>
      <c r="F292" s="36"/>
    </row>
    <row r="293" spans="1:6" ht="18.75" customHeight="1">
      <c r="A293" s="106">
        <v>1</v>
      </c>
      <c r="B293" s="122" t="s">
        <v>377</v>
      </c>
      <c r="C293" s="267">
        <v>0</v>
      </c>
      <c r="D293" s="267">
        <v>0</v>
      </c>
      <c r="E293" s="36"/>
      <c r="F293" s="36"/>
    </row>
    <row r="294" spans="1:6" ht="18.75">
      <c r="A294" s="106">
        <v>2</v>
      </c>
      <c r="B294" s="122" t="s">
        <v>378</v>
      </c>
      <c r="C294" s="267">
        <v>750000</v>
      </c>
      <c r="D294" s="267">
        <v>0</v>
      </c>
      <c r="E294" s="36"/>
      <c r="F294" s="36"/>
    </row>
    <row r="295" spans="1:6" ht="21" customHeight="1">
      <c r="A295" s="121" t="s">
        <v>132</v>
      </c>
      <c r="B295" s="125" t="s">
        <v>379</v>
      </c>
      <c r="C295" s="263">
        <v>750000</v>
      </c>
      <c r="D295" s="267">
        <v>0</v>
      </c>
      <c r="E295" s="36"/>
      <c r="F295" s="36"/>
    </row>
    <row r="296" spans="1:6" ht="18.75">
      <c r="A296" s="106">
        <v>1</v>
      </c>
      <c r="B296" s="122" t="s">
        <v>76</v>
      </c>
      <c r="C296" s="267">
        <v>450000</v>
      </c>
      <c r="D296" s="267">
        <v>0</v>
      </c>
      <c r="E296" s="36"/>
      <c r="F296" s="36"/>
    </row>
    <row r="297" spans="1:6" ht="18.75">
      <c r="A297" s="106" t="s">
        <v>4</v>
      </c>
      <c r="B297" s="122" t="s">
        <v>506</v>
      </c>
      <c r="C297" s="267">
        <v>450000</v>
      </c>
      <c r="D297" s="267">
        <v>0</v>
      </c>
      <c r="E297" s="36"/>
      <c r="F297" s="36"/>
    </row>
    <row r="298" spans="1:6" ht="18.75">
      <c r="A298" s="106">
        <v>2</v>
      </c>
      <c r="B298" s="122" t="s">
        <v>90</v>
      </c>
      <c r="C298" s="267">
        <v>210000</v>
      </c>
      <c r="D298" s="267">
        <v>0</v>
      </c>
      <c r="E298" s="36"/>
      <c r="F298" s="36"/>
    </row>
    <row r="299" spans="1:6" ht="18.75">
      <c r="A299" s="106" t="s">
        <v>11</v>
      </c>
      <c r="B299" s="99" t="s">
        <v>493</v>
      </c>
      <c r="C299" s="267">
        <v>105000</v>
      </c>
      <c r="D299" s="267">
        <v>0</v>
      </c>
      <c r="E299" s="36"/>
      <c r="F299" s="36"/>
    </row>
    <row r="300" spans="1:6" ht="18.75">
      <c r="A300" s="106" t="s">
        <v>11</v>
      </c>
      <c r="B300" s="99" t="s">
        <v>96</v>
      </c>
      <c r="C300" s="267">
        <v>105000</v>
      </c>
      <c r="D300" s="267">
        <v>0</v>
      </c>
      <c r="E300" s="36"/>
      <c r="F300" s="36"/>
    </row>
    <row r="301" spans="1:6" ht="18.75">
      <c r="A301" s="106">
        <v>3</v>
      </c>
      <c r="B301" s="122" t="s">
        <v>277</v>
      </c>
      <c r="C301" s="267">
        <v>90000</v>
      </c>
      <c r="D301" s="267">
        <v>0</v>
      </c>
      <c r="E301" s="36"/>
      <c r="F301" s="36"/>
    </row>
    <row r="302" spans="1:6" ht="18.75">
      <c r="A302" s="121" t="s">
        <v>133</v>
      </c>
      <c r="B302" s="125" t="s">
        <v>510</v>
      </c>
      <c r="C302" s="263">
        <v>957000</v>
      </c>
      <c r="D302" s="267">
        <v>0</v>
      </c>
      <c r="E302" s="36"/>
      <c r="F302" s="36"/>
    </row>
    <row r="303" spans="1:6" ht="18.75">
      <c r="A303" s="103">
        <v>1</v>
      </c>
      <c r="B303" s="104" t="s">
        <v>81</v>
      </c>
      <c r="C303" s="267">
        <v>1000</v>
      </c>
      <c r="D303" s="267">
        <v>0</v>
      </c>
      <c r="E303" s="36"/>
      <c r="F303" s="36"/>
    </row>
    <row r="304" spans="1:6" ht="18.75">
      <c r="A304" s="103">
        <v>2</v>
      </c>
      <c r="B304" s="104" t="s">
        <v>426</v>
      </c>
      <c r="C304" s="267">
        <v>270000</v>
      </c>
      <c r="D304" s="267">
        <v>0</v>
      </c>
      <c r="E304" s="36"/>
      <c r="F304" s="36"/>
    </row>
    <row r="305" spans="1:6" ht="18.75">
      <c r="A305" s="103">
        <v>3</v>
      </c>
      <c r="B305" s="107" t="s">
        <v>507</v>
      </c>
      <c r="C305" s="267">
        <v>50000</v>
      </c>
      <c r="D305" s="267">
        <v>0</v>
      </c>
      <c r="E305" s="36"/>
      <c r="F305" s="36"/>
    </row>
    <row r="306" spans="1:6" ht="18.75">
      <c r="A306" s="103">
        <v>4</v>
      </c>
      <c r="B306" s="104" t="s">
        <v>508</v>
      </c>
      <c r="C306" s="267">
        <v>100000</v>
      </c>
      <c r="D306" s="267">
        <v>0</v>
      </c>
      <c r="E306" s="36"/>
      <c r="F306" s="36"/>
    </row>
    <row r="307" spans="1:6" ht="18.75">
      <c r="A307" s="103">
        <v>5</v>
      </c>
      <c r="B307" s="104" t="s">
        <v>425</v>
      </c>
      <c r="C307" s="267">
        <v>110000</v>
      </c>
      <c r="D307" s="267">
        <v>0</v>
      </c>
      <c r="E307" s="36"/>
      <c r="F307" s="36"/>
    </row>
    <row r="308" spans="1:6" ht="18.75">
      <c r="A308" s="103" t="s">
        <v>4</v>
      </c>
      <c r="B308" s="107" t="s">
        <v>135</v>
      </c>
      <c r="C308" s="267">
        <v>11000</v>
      </c>
      <c r="D308" s="267">
        <v>0</v>
      </c>
      <c r="E308" s="36"/>
      <c r="F308" s="36"/>
    </row>
    <row r="309" spans="1:6" ht="37.5">
      <c r="A309" s="103" t="s">
        <v>4</v>
      </c>
      <c r="B309" s="107" t="s">
        <v>136</v>
      </c>
      <c r="C309" s="267">
        <v>22000</v>
      </c>
      <c r="D309" s="267">
        <v>0</v>
      </c>
      <c r="E309" s="36"/>
      <c r="F309" s="36"/>
    </row>
    <row r="310" spans="1:6" ht="18.75">
      <c r="A310" s="103" t="s">
        <v>4</v>
      </c>
      <c r="B310" s="107" t="s">
        <v>137</v>
      </c>
      <c r="C310" s="267">
        <v>77000</v>
      </c>
      <c r="D310" s="267">
        <v>0</v>
      </c>
      <c r="E310" s="36"/>
      <c r="F310" s="36"/>
    </row>
    <row r="311" spans="1:6" ht="18.75">
      <c r="A311" s="103" t="s">
        <v>11</v>
      </c>
      <c r="B311" s="104" t="s">
        <v>138</v>
      </c>
      <c r="C311" s="267">
        <v>30800</v>
      </c>
      <c r="D311" s="267">
        <v>0</v>
      </c>
      <c r="E311" s="36"/>
      <c r="F311" s="36"/>
    </row>
    <row r="312" spans="1:6" ht="18.75">
      <c r="A312" s="103" t="s">
        <v>11</v>
      </c>
      <c r="B312" s="104" t="s">
        <v>139</v>
      </c>
      <c r="C312" s="267">
        <v>46200</v>
      </c>
      <c r="D312" s="267">
        <v>0</v>
      </c>
      <c r="E312" s="36"/>
      <c r="F312" s="36"/>
    </row>
    <row r="313" spans="1:6" ht="18.75">
      <c r="A313" s="103">
        <v>6</v>
      </c>
      <c r="B313" s="104" t="s">
        <v>140</v>
      </c>
      <c r="C313" s="267">
        <v>426000</v>
      </c>
      <c r="D313" s="267">
        <v>0</v>
      </c>
      <c r="E313" s="36"/>
      <c r="F313" s="36"/>
    </row>
    <row r="314" spans="1:6" ht="18.75">
      <c r="A314" s="121" t="s">
        <v>141</v>
      </c>
      <c r="B314" s="101" t="s">
        <v>509</v>
      </c>
      <c r="C314" s="263">
        <v>1219000</v>
      </c>
      <c r="D314" s="267">
        <v>0</v>
      </c>
      <c r="E314" s="36"/>
      <c r="F314" s="36"/>
    </row>
    <row r="315" spans="1:6" ht="20.25" customHeight="1">
      <c r="A315" s="106">
        <v>1</v>
      </c>
      <c r="B315" s="107" t="s">
        <v>142</v>
      </c>
      <c r="C315" s="267">
        <v>381000</v>
      </c>
      <c r="D315" s="267">
        <v>0</v>
      </c>
      <c r="E315" s="36"/>
      <c r="F315" s="36"/>
    </row>
    <row r="316" spans="1:6" ht="20.25" customHeight="1">
      <c r="A316" s="106">
        <v>2</v>
      </c>
      <c r="B316" s="107" t="s">
        <v>143</v>
      </c>
      <c r="C316" s="267">
        <v>222000</v>
      </c>
      <c r="D316" s="267">
        <v>0</v>
      </c>
      <c r="E316" s="36"/>
      <c r="F316" s="36"/>
    </row>
    <row r="317" spans="1:6" ht="20.25" customHeight="1">
      <c r="A317" s="106">
        <v>3</v>
      </c>
      <c r="B317" s="120" t="s">
        <v>511</v>
      </c>
      <c r="C317" s="267">
        <v>342900</v>
      </c>
      <c r="D317" s="267">
        <v>0</v>
      </c>
      <c r="E317" s="36"/>
      <c r="F317" s="36"/>
    </row>
    <row r="318" spans="1:6" ht="20.25" customHeight="1">
      <c r="A318" s="106">
        <v>4</v>
      </c>
      <c r="B318" s="120" t="s">
        <v>338</v>
      </c>
      <c r="C318" s="267">
        <v>273100</v>
      </c>
      <c r="D318" s="267">
        <v>0</v>
      </c>
      <c r="E318" s="36"/>
      <c r="F318" s="36"/>
    </row>
    <row r="319" spans="3:6" ht="16.5">
      <c r="C319" s="36"/>
      <c r="D319" s="36"/>
      <c r="E319" s="36"/>
      <c r="F319" s="36"/>
    </row>
    <row r="320" spans="3:6" ht="16.5">
      <c r="C320" s="36"/>
      <c r="D320" s="36"/>
      <c r="E320" s="36"/>
      <c r="F320" s="36"/>
    </row>
    <row r="321" spans="3:6" ht="16.5">
      <c r="C321" s="36"/>
      <c r="D321" s="36"/>
      <c r="E321" s="36"/>
      <c r="F321" s="36"/>
    </row>
    <row r="322" spans="3:6" ht="16.5">
      <c r="C322" s="1"/>
      <c r="D322" s="1"/>
      <c r="E322" s="36"/>
      <c r="F322" s="36"/>
    </row>
    <row r="323" spans="3:6" ht="16.5">
      <c r="C323" s="1"/>
      <c r="D323" s="1"/>
      <c r="E323" s="36"/>
      <c r="F323" s="36"/>
    </row>
    <row r="324" spans="3:6" ht="16.5">
      <c r="C324" s="1"/>
      <c r="D324" s="1"/>
      <c r="E324" s="36"/>
      <c r="F324" s="36"/>
    </row>
    <row r="325" spans="3:6" ht="16.5">
      <c r="C325" s="1"/>
      <c r="D325" s="1"/>
      <c r="E325" s="36"/>
      <c r="F325" s="36"/>
    </row>
    <row r="326" spans="3:6" ht="16.5">
      <c r="C326" s="1"/>
      <c r="D326" s="1"/>
      <c r="E326" s="36"/>
      <c r="F326" s="36"/>
    </row>
    <row r="327" spans="3:6" ht="16.5">
      <c r="C327" s="1"/>
      <c r="D327" s="1"/>
      <c r="E327" s="36"/>
      <c r="F327" s="36"/>
    </row>
    <row r="328" spans="3:6" ht="16.5">
      <c r="C328" s="1"/>
      <c r="D328" s="1"/>
      <c r="E328" s="36"/>
      <c r="F328" s="36"/>
    </row>
  </sheetData>
  <sheetProtection/>
  <mergeCells count="11">
    <mergeCell ref="A1:D1"/>
    <mergeCell ref="A2:D2"/>
    <mergeCell ref="A3:D3"/>
    <mergeCell ref="A4:D4"/>
    <mergeCell ref="A5:D5"/>
    <mergeCell ref="A6:D6"/>
    <mergeCell ref="C7:D7"/>
    <mergeCell ref="A8:A9"/>
    <mergeCell ref="B8:B9"/>
    <mergeCell ref="C8:C9"/>
    <mergeCell ref="D8:D9"/>
  </mergeCells>
  <printOptions/>
  <pageMargins left="0.87" right="0.22" top="0.42" bottom="0.49" header="0.44" footer="0.17"/>
  <pageSetup horizontalDpi="600" verticalDpi="600" orientation="portrait" paperSize="9" r:id="rId3"/>
  <headerFooter alignWithMargins="0">
    <oddFooter>&amp;CPage &amp;P</oddFooter>
  </headerFooter>
  <legacyDrawing r:id="rId2"/>
</worksheet>
</file>

<file path=xl/worksheets/sheet5.xml><?xml version="1.0" encoding="utf-8"?>
<worksheet xmlns="http://schemas.openxmlformats.org/spreadsheetml/2006/main" xmlns:r="http://schemas.openxmlformats.org/officeDocument/2006/relationships">
  <dimension ref="A1:V312"/>
  <sheetViews>
    <sheetView view="pageBreakPreview" zoomScaleSheetLayoutView="100" zoomScalePageLayoutView="0" workbookViewId="0" topLeftCell="A1">
      <selection activeCell="Q309" sqref="Q309"/>
    </sheetView>
  </sheetViews>
  <sheetFormatPr defaultColWidth="9.00390625" defaultRowHeight="15.75"/>
  <cols>
    <col min="1" max="1" width="4.50390625" style="4" customWidth="1"/>
    <col min="2" max="2" width="45.25390625" style="4" customWidth="1"/>
    <col min="3" max="3" width="8.625" style="85" customWidth="1"/>
    <col min="4" max="4" width="7.875" style="85" customWidth="1"/>
    <col min="5" max="5" width="6.375" style="85" customWidth="1"/>
    <col min="6" max="6" width="7.875" style="85" customWidth="1"/>
    <col min="7" max="7" width="12.50390625" style="17" customWidth="1"/>
    <col min="8" max="8" width="11.125" style="17" customWidth="1"/>
    <col min="9" max="9" width="12.625" style="17" customWidth="1"/>
    <col min="10" max="10" width="11.25390625" style="17" customWidth="1"/>
    <col min="11" max="11" width="9.375" style="17" customWidth="1"/>
    <col min="12" max="13" width="12.25390625" style="17" customWidth="1"/>
    <col min="14" max="14" width="11.25390625" style="17" customWidth="1"/>
    <col min="15" max="15" width="11.50390625" style="17" customWidth="1"/>
    <col min="16" max="16" width="12.875" style="17" customWidth="1"/>
    <col min="17" max="18" width="11.50390625" style="17" customWidth="1"/>
    <col min="19" max="19" width="11.25390625" style="17" customWidth="1"/>
    <col min="20" max="20" width="10.50390625" style="17" customWidth="1"/>
    <col min="21" max="21" width="12.75390625" style="4" customWidth="1"/>
    <col min="22" max="16384" width="9.00390625" style="4" customWidth="1"/>
  </cols>
  <sheetData>
    <row r="1" spans="1:20" ht="18.75" customHeight="1">
      <c r="A1" s="186" t="s">
        <v>513</v>
      </c>
      <c r="B1" s="186"/>
      <c r="C1" s="186"/>
      <c r="D1" s="186"/>
      <c r="E1" s="186"/>
      <c r="F1" s="186"/>
      <c r="G1" s="186"/>
      <c r="H1" s="186"/>
      <c r="I1" s="186"/>
      <c r="J1" s="186"/>
      <c r="K1" s="186"/>
      <c r="L1" s="186"/>
      <c r="M1" s="186"/>
      <c r="N1" s="186"/>
      <c r="O1" s="186"/>
      <c r="P1" s="186"/>
      <c r="Q1" s="186"/>
      <c r="R1" s="186"/>
      <c r="S1" s="4"/>
      <c r="T1" s="4"/>
    </row>
    <row r="2" spans="1:18" s="5" customFormat="1" ht="17.25" customHeight="1">
      <c r="A2" s="186" t="s">
        <v>346</v>
      </c>
      <c r="B2" s="186"/>
      <c r="C2" s="186"/>
      <c r="D2" s="186"/>
      <c r="E2" s="186"/>
      <c r="F2" s="186"/>
      <c r="G2" s="186"/>
      <c r="H2" s="186"/>
      <c r="I2" s="186"/>
      <c r="J2" s="186"/>
      <c r="K2" s="186"/>
      <c r="L2" s="186"/>
      <c r="M2" s="186"/>
      <c r="N2" s="186"/>
      <c r="O2" s="186"/>
      <c r="P2" s="186"/>
      <c r="Q2" s="186"/>
      <c r="R2" s="186"/>
    </row>
    <row r="3" spans="1:18" s="5" customFormat="1" ht="21.75" customHeight="1" hidden="1">
      <c r="A3" s="187" t="s">
        <v>306</v>
      </c>
      <c r="B3" s="187"/>
      <c r="C3" s="187"/>
      <c r="D3" s="187"/>
      <c r="E3" s="187"/>
      <c r="F3" s="187"/>
      <c r="G3" s="187"/>
      <c r="H3" s="187"/>
      <c r="I3" s="187"/>
      <c r="J3" s="187"/>
      <c r="K3" s="187"/>
      <c r="L3" s="187"/>
      <c r="M3" s="187"/>
      <c r="N3" s="187"/>
      <c r="O3" s="187"/>
      <c r="P3" s="187"/>
      <c r="Q3" s="187"/>
      <c r="R3" s="187"/>
    </row>
    <row r="4" spans="1:18" s="5" customFormat="1" ht="22.5" customHeight="1" hidden="1">
      <c r="A4" s="187" t="s">
        <v>409</v>
      </c>
      <c r="B4" s="187"/>
      <c r="C4" s="187"/>
      <c r="D4" s="187"/>
      <c r="E4" s="187"/>
      <c r="F4" s="187"/>
      <c r="G4" s="187"/>
      <c r="H4" s="187"/>
      <c r="I4" s="187"/>
      <c r="J4" s="187"/>
      <c r="K4" s="187"/>
      <c r="L4" s="187"/>
      <c r="M4" s="187"/>
      <c r="N4" s="187"/>
      <c r="O4" s="187"/>
      <c r="P4" s="187"/>
      <c r="Q4" s="187"/>
      <c r="R4" s="187"/>
    </row>
    <row r="5" spans="1:18" s="5" customFormat="1" ht="22.5" customHeight="1">
      <c r="A5" s="190" t="s">
        <v>419</v>
      </c>
      <c r="B5" s="190"/>
      <c r="C5" s="190"/>
      <c r="D5" s="190"/>
      <c r="E5" s="190"/>
      <c r="F5" s="190"/>
      <c r="G5" s="190"/>
      <c r="H5" s="190"/>
      <c r="I5" s="190"/>
      <c r="J5" s="190"/>
      <c r="K5" s="190"/>
      <c r="L5" s="190"/>
      <c r="M5" s="190"/>
      <c r="N5" s="190"/>
      <c r="O5" s="190"/>
      <c r="P5" s="190"/>
      <c r="Q5" s="190"/>
      <c r="R5" s="190"/>
    </row>
    <row r="6" spans="1:18" s="5" customFormat="1" ht="18.75" customHeight="1">
      <c r="A6" s="6"/>
      <c r="B6" s="6"/>
      <c r="C6" s="6"/>
      <c r="D6" s="6"/>
      <c r="E6" s="6"/>
      <c r="F6" s="6"/>
      <c r="G6" s="7"/>
      <c r="H6" s="6"/>
      <c r="I6" s="6"/>
      <c r="J6" s="7"/>
      <c r="K6" s="7"/>
      <c r="L6" s="7"/>
      <c r="M6" s="7"/>
      <c r="N6" s="7"/>
      <c r="O6" s="8"/>
      <c r="P6" s="297" t="s">
        <v>186</v>
      </c>
      <c r="Q6" s="297"/>
      <c r="R6" s="297"/>
    </row>
    <row r="7" spans="1:18" s="10" customFormat="1" ht="18" customHeight="1">
      <c r="A7" s="181" t="s">
        <v>0</v>
      </c>
      <c r="B7" s="181" t="s">
        <v>15</v>
      </c>
      <c r="C7" s="181" t="s">
        <v>347</v>
      </c>
      <c r="D7" s="181"/>
      <c r="E7" s="181"/>
      <c r="F7" s="181"/>
      <c r="G7" s="181"/>
      <c r="H7" s="181"/>
      <c r="I7" s="181"/>
      <c r="J7" s="181"/>
      <c r="K7" s="181"/>
      <c r="L7" s="181"/>
      <c r="M7" s="181"/>
      <c r="N7" s="181"/>
      <c r="O7" s="181"/>
      <c r="P7" s="181"/>
      <c r="Q7" s="181"/>
      <c r="R7" s="181"/>
    </row>
    <row r="8" spans="1:18" s="11" customFormat="1" ht="18.75" customHeight="1">
      <c r="A8" s="181"/>
      <c r="B8" s="181"/>
      <c r="C8" s="181" t="s">
        <v>16</v>
      </c>
      <c r="D8" s="181"/>
      <c r="E8" s="181"/>
      <c r="F8" s="181"/>
      <c r="G8" s="188" t="s">
        <v>348</v>
      </c>
      <c r="H8" s="189" t="s">
        <v>17</v>
      </c>
      <c r="I8" s="189"/>
      <c r="J8" s="189"/>
      <c r="K8" s="189"/>
      <c r="L8" s="189"/>
      <c r="M8" s="189"/>
      <c r="N8" s="189"/>
      <c r="O8" s="189"/>
      <c r="P8" s="189"/>
      <c r="Q8" s="189"/>
      <c r="R8" s="189"/>
    </row>
    <row r="9" spans="1:18" s="11" customFormat="1" ht="19.5" customHeight="1">
      <c r="A9" s="181"/>
      <c r="B9" s="181"/>
      <c r="C9" s="181" t="s">
        <v>539</v>
      </c>
      <c r="D9" s="181" t="s">
        <v>18</v>
      </c>
      <c r="E9" s="181"/>
      <c r="F9" s="181"/>
      <c r="G9" s="188"/>
      <c r="H9" s="188" t="s">
        <v>349</v>
      </c>
      <c r="I9" s="188"/>
      <c r="J9" s="188"/>
      <c r="K9" s="188"/>
      <c r="L9" s="189" t="s">
        <v>350</v>
      </c>
      <c r="M9" s="189"/>
      <c r="N9" s="189"/>
      <c r="O9" s="189"/>
      <c r="P9" s="189"/>
      <c r="Q9" s="189"/>
      <c r="R9" s="188" t="s">
        <v>19</v>
      </c>
    </row>
    <row r="10" spans="1:18" s="11" customFormat="1" ht="20.25" customHeight="1">
      <c r="A10" s="181"/>
      <c r="B10" s="181"/>
      <c r="C10" s="181"/>
      <c r="D10" s="298" t="s">
        <v>308</v>
      </c>
      <c r="E10" s="298" t="s">
        <v>20</v>
      </c>
      <c r="F10" s="298" t="s">
        <v>540</v>
      </c>
      <c r="G10" s="188"/>
      <c r="H10" s="188" t="s">
        <v>351</v>
      </c>
      <c r="I10" s="188" t="s">
        <v>1</v>
      </c>
      <c r="J10" s="188"/>
      <c r="K10" s="188"/>
      <c r="L10" s="188" t="s">
        <v>352</v>
      </c>
      <c r="M10" s="189" t="s">
        <v>1</v>
      </c>
      <c r="N10" s="189"/>
      <c r="O10" s="189"/>
      <c r="P10" s="189"/>
      <c r="Q10" s="189"/>
      <c r="R10" s="188"/>
    </row>
    <row r="11" spans="1:18" s="11" customFormat="1" ht="59.25" customHeight="1">
      <c r="A11" s="181"/>
      <c r="B11" s="181"/>
      <c r="C11" s="181"/>
      <c r="D11" s="298"/>
      <c r="E11" s="298"/>
      <c r="F11" s="298"/>
      <c r="G11" s="188"/>
      <c r="H11" s="188"/>
      <c r="I11" s="137" t="s">
        <v>21</v>
      </c>
      <c r="J11" s="137" t="s">
        <v>594</v>
      </c>
      <c r="K11" s="137" t="s">
        <v>23</v>
      </c>
      <c r="L11" s="188"/>
      <c r="M11" s="137" t="s">
        <v>24</v>
      </c>
      <c r="N11" s="137" t="s">
        <v>25</v>
      </c>
      <c r="O11" s="137" t="s">
        <v>299</v>
      </c>
      <c r="P11" s="137" t="s">
        <v>541</v>
      </c>
      <c r="Q11" s="137" t="s">
        <v>23</v>
      </c>
      <c r="R11" s="188"/>
    </row>
    <row r="12" spans="1:18" s="11" customFormat="1" ht="25.5" customHeight="1">
      <c r="A12" s="23"/>
      <c r="B12" s="97" t="s">
        <v>435</v>
      </c>
      <c r="C12" s="135"/>
      <c r="D12" s="135"/>
      <c r="E12" s="135"/>
      <c r="F12" s="135"/>
      <c r="G12" s="180" t="s">
        <v>542</v>
      </c>
      <c r="H12" s="180" t="s">
        <v>543</v>
      </c>
      <c r="I12" s="180" t="s">
        <v>544</v>
      </c>
      <c r="J12" s="180" t="s">
        <v>545</v>
      </c>
      <c r="K12" s="180" t="s">
        <v>546</v>
      </c>
      <c r="L12" s="180" t="s">
        <v>547</v>
      </c>
      <c r="M12" s="180" t="s">
        <v>548</v>
      </c>
      <c r="N12" s="180" t="s">
        <v>549</v>
      </c>
      <c r="O12" s="180" t="s">
        <v>550</v>
      </c>
      <c r="P12" s="180" t="s">
        <v>551</v>
      </c>
      <c r="Q12" s="138">
        <v>2080000</v>
      </c>
      <c r="R12" s="180" t="s">
        <v>552</v>
      </c>
    </row>
    <row r="13" spans="1:20" ht="21" customHeight="1">
      <c r="A13" s="97" t="s">
        <v>26</v>
      </c>
      <c r="B13" s="23" t="s">
        <v>434</v>
      </c>
      <c r="C13" s="139"/>
      <c r="D13" s="139"/>
      <c r="E13" s="139"/>
      <c r="F13" s="139"/>
      <c r="G13" s="138">
        <f>G14+G17</f>
        <v>13169000</v>
      </c>
      <c r="H13" s="140"/>
      <c r="I13" s="140"/>
      <c r="J13" s="140"/>
      <c r="K13" s="140"/>
      <c r="L13" s="138"/>
      <c r="M13" s="140"/>
      <c r="N13" s="140"/>
      <c r="O13" s="140"/>
      <c r="P13" s="140"/>
      <c r="Q13" s="140"/>
      <c r="R13" s="140"/>
      <c r="S13" s="4"/>
      <c r="T13" s="4"/>
    </row>
    <row r="14" spans="1:18" s="16" customFormat="1" ht="21" customHeight="1">
      <c r="A14" s="97" t="s">
        <v>27</v>
      </c>
      <c r="B14" s="23" t="s">
        <v>28</v>
      </c>
      <c r="C14" s="97"/>
      <c r="D14" s="97"/>
      <c r="E14" s="97"/>
      <c r="F14" s="97"/>
      <c r="G14" s="138">
        <v>3000000</v>
      </c>
      <c r="H14" s="138"/>
      <c r="I14" s="138"/>
      <c r="J14" s="138"/>
      <c r="K14" s="138"/>
      <c r="L14" s="138"/>
      <c r="M14" s="138"/>
      <c r="N14" s="138"/>
      <c r="O14" s="138"/>
      <c r="P14" s="138"/>
      <c r="Q14" s="138"/>
      <c r="R14" s="138"/>
    </row>
    <row r="15" spans="1:20" ht="21.75" customHeight="1">
      <c r="A15" s="139"/>
      <c r="B15" s="134" t="s">
        <v>29</v>
      </c>
      <c r="C15" s="139"/>
      <c r="D15" s="139"/>
      <c r="E15" s="139"/>
      <c r="F15" s="139"/>
      <c r="G15" s="140"/>
      <c r="H15" s="140"/>
      <c r="I15" s="141"/>
      <c r="J15" s="140"/>
      <c r="K15" s="140"/>
      <c r="L15" s="140"/>
      <c r="M15" s="140"/>
      <c r="N15" s="140"/>
      <c r="O15" s="140"/>
      <c r="P15" s="140"/>
      <c r="Q15" s="140"/>
      <c r="R15" s="140"/>
      <c r="S15" s="4"/>
      <c r="T15" s="4"/>
    </row>
    <row r="16" spans="1:20" ht="18.75" customHeight="1">
      <c r="A16" s="139"/>
      <c r="B16" s="134" t="s">
        <v>30</v>
      </c>
      <c r="C16" s="139"/>
      <c r="D16" s="139"/>
      <c r="E16" s="139"/>
      <c r="F16" s="139"/>
      <c r="G16" s="140">
        <v>420000</v>
      </c>
      <c r="H16" s="140"/>
      <c r="I16" s="140"/>
      <c r="J16" s="140"/>
      <c r="K16" s="140"/>
      <c r="L16" s="140"/>
      <c r="M16" s="140"/>
      <c r="N16" s="140"/>
      <c r="O16" s="140"/>
      <c r="P16" s="140"/>
      <c r="Q16" s="140"/>
      <c r="R16" s="140"/>
      <c r="S16" s="4"/>
      <c r="T16" s="4"/>
    </row>
    <row r="17" spans="1:20" ht="25.5" customHeight="1">
      <c r="A17" s="97" t="s">
        <v>31</v>
      </c>
      <c r="B17" s="23" t="s">
        <v>32</v>
      </c>
      <c r="C17" s="139"/>
      <c r="D17" s="139"/>
      <c r="E17" s="139"/>
      <c r="F17" s="139"/>
      <c r="G17" s="138">
        <v>10169000</v>
      </c>
      <c r="H17" s="140"/>
      <c r="I17" s="140"/>
      <c r="J17" s="140"/>
      <c r="K17" s="140"/>
      <c r="L17" s="138"/>
      <c r="M17" s="140"/>
      <c r="N17" s="140"/>
      <c r="O17" s="140"/>
      <c r="P17" s="140"/>
      <c r="Q17" s="140"/>
      <c r="R17" s="140"/>
      <c r="S17" s="4"/>
      <c r="T17" s="4"/>
    </row>
    <row r="18" spans="1:18" s="11" customFormat="1" ht="24" customHeight="1">
      <c r="A18" s="97" t="s">
        <v>33</v>
      </c>
      <c r="B18" s="142" t="s">
        <v>437</v>
      </c>
      <c r="C18" s="182" t="s">
        <v>564</v>
      </c>
      <c r="D18" s="182" t="s">
        <v>565</v>
      </c>
      <c r="E18" s="182" t="s">
        <v>566</v>
      </c>
      <c r="F18" s="135">
        <f>F19+F68+F97+F107+F119+F145+F248+F256+F279+F282+F285+F288</f>
        <v>16</v>
      </c>
      <c r="G18" s="180" t="s">
        <v>553</v>
      </c>
      <c r="H18" s="180" t="s">
        <v>543</v>
      </c>
      <c r="I18" s="180" t="s">
        <v>544</v>
      </c>
      <c r="J18" s="180" t="s">
        <v>545</v>
      </c>
      <c r="K18" s="180" t="s">
        <v>546</v>
      </c>
      <c r="L18" s="180" t="s">
        <v>554</v>
      </c>
      <c r="M18" s="180" t="s">
        <v>555</v>
      </c>
      <c r="N18" s="180" t="s">
        <v>556</v>
      </c>
      <c r="O18" s="180" t="s">
        <v>557</v>
      </c>
      <c r="P18" s="180" t="s">
        <v>558</v>
      </c>
      <c r="Q18" s="180" t="s">
        <v>559</v>
      </c>
      <c r="R18" s="180" t="s">
        <v>552</v>
      </c>
    </row>
    <row r="19" spans="1:20" ht="21.75" customHeight="1">
      <c r="A19" s="97" t="s">
        <v>27</v>
      </c>
      <c r="B19" s="23" t="s">
        <v>438</v>
      </c>
      <c r="C19" s="97">
        <f>SUM(C20:C57)</f>
        <v>4</v>
      </c>
      <c r="D19" s="97">
        <f>SUM(D20:D57)</f>
        <v>4</v>
      </c>
      <c r="E19" s="97">
        <f>SUM(E20:E57)</f>
        <v>0</v>
      </c>
      <c r="F19" s="97">
        <f>SUM(F20:F57)</f>
        <v>0</v>
      </c>
      <c r="G19" s="138">
        <f>G20+G25+G29+G43+G47+G53+G57+G46+G39+G27</f>
        <v>20541000</v>
      </c>
      <c r="H19" s="138">
        <f aca="true" t="shared" si="0" ref="H19:P19">H20+H25+H29+H43+H47+H53+H57+H46+H39+H27</f>
        <v>398000</v>
      </c>
      <c r="I19" s="138">
        <f t="shared" si="0"/>
        <v>330000</v>
      </c>
      <c r="J19" s="138">
        <f t="shared" si="0"/>
        <v>68000</v>
      </c>
      <c r="K19" s="138">
        <f t="shared" si="0"/>
        <v>0</v>
      </c>
      <c r="L19" s="138">
        <f>L20+L25+L29+L43+L47+L53+L57+L46+L39+L27</f>
        <v>8671176.5</v>
      </c>
      <c r="M19" s="138">
        <f t="shared" si="0"/>
        <v>312000</v>
      </c>
      <c r="N19" s="138">
        <f t="shared" si="0"/>
        <v>2378176.5</v>
      </c>
      <c r="O19" s="138">
        <f t="shared" si="0"/>
        <v>3958000</v>
      </c>
      <c r="P19" s="138">
        <f t="shared" si="0"/>
        <v>2023000</v>
      </c>
      <c r="Q19" s="138">
        <f>Q20+Q25+Q29+Q43+Q47+Q53+Q57+Q46+Q39+Q27</f>
        <v>0</v>
      </c>
      <c r="R19" s="138">
        <f>R20+R25+R29+R43+R47+R53+R57+R46+R39+R27</f>
        <v>0</v>
      </c>
      <c r="S19" s="4"/>
      <c r="T19" s="4"/>
    </row>
    <row r="20" spans="1:22" s="93" customFormat="1" ht="21.75" customHeight="1">
      <c r="A20" s="139">
        <v>1</v>
      </c>
      <c r="B20" s="147" t="s">
        <v>439</v>
      </c>
      <c r="C20" s="139"/>
      <c r="D20" s="139"/>
      <c r="E20" s="139"/>
      <c r="F20" s="139"/>
      <c r="G20" s="140">
        <f>G21+G24</f>
        <v>850000</v>
      </c>
      <c r="H20" s="140">
        <f aca="true" t="shared" si="1" ref="H20:R20">SUM(H21:H21)</f>
        <v>0</v>
      </c>
      <c r="I20" s="140">
        <f t="shared" si="1"/>
        <v>0</v>
      </c>
      <c r="J20" s="140">
        <f t="shared" si="1"/>
        <v>0</v>
      </c>
      <c r="K20" s="140">
        <f t="shared" si="1"/>
        <v>0</v>
      </c>
      <c r="L20" s="140">
        <f t="shared" si="1"/>
        <v>360000</v>
      </c>
      <c r="M20" s="140">
        <f t="shared" si="1"/>
        <v>0</v>
      </c>
      <c r="N20" s="140">
        <f t="shared" si="1"/>
        <v>360000</v>
      </c>
      <c r="O20" s="140">
        <f t="shared" si="1"/>
        <v>0</v>
      </c>
      <c r="P20" s="140">
        <f t="shared" si="1"/>
        <v>0</v>
      </c>
      <c r="Q20" s="140">
        <f t="shared" si="1"/>
        <v>0</v>
      </c>
      <c r="R20" s="140">
        <f t="shared" si="1"/>
        <v>0</v>
      </c>
      <c r="S20" s="130"/>
      <c r="T20" s="130"/>
      <c r="U20" s="130"/>
      <c r="V20" s="130"/>
    </row>
    <row r="21" spans="1:22" s="93" customFormat="1" ht="21.75" customHeight="1">
      <c r="A21" s="146" t="s">
        <v>4</v>
      </c>
      <c r="B21" s="134" t="s">
        <v>34</v>
      </c>
      <c r="C21" s="139"/>
      <c r="D21" s="139"/>
      <c r="E21" s="139"/>
      <c r="F21" s="139"/>
      <c r="G21" s="140">
        <f aca="true" t="shared" si="2" ref="G21:R21">SUM(G22:G23)</f>
        <v>360000</v>
      </c>
      <c r="H21" s="140">
        <f t="shared" si="2"/>
        <v>0</v>
      </c>
      <c r="I21" s="140">
        <f t="shared" si="2"/>
        <v>0</v>
      </c>
      <c r="J21" s="140">
        <f t="shared" si="2"/>
        <v>0</v>
      </c>
      <c r="K21" s="140">
        <f t="shared" si="2"/>
        <v>0</v>
      </c>
      <c r="L21" s="140">
        <f t="shared" si="2"/>
        <v>360000</v>
      </c>
      <c r="M21" s="140">
        <f t="shared" si="2"/>
        <v>0</v>
      </c>
      <c r="N21" s="140">
        <f t="shared" si="2"/>
        <v>360000</v>
      </c>
      <c r="O21" s="140">
        <f t="shared" si="2"/>
        <v>0</v>
      </c>
      <c r="P21" s="140">
        <f t="shared" si="2"/>
        <v>0</v>
      </c>
      <c r="Q21" s="140">
        <f t="shared" si="2"/>
        <v>0</v>
      </c>
      <c r="R21" s="140">
        <f t="shared" si="2"/>
        <v>0</v>
      </c>
      <c r="S21" s="130"/>
      <c r="T21" s="130"/>
      <c r="U21" s="130"/>
      <c r="V21" s="130"/>
    </row>
    <row r="22" spans="1:22" s="93" customFormat="1" ht="21.75" customHeight="1">
      <c r="A22" s="164" t="s">
        <v>11</v>
      </c>
      <c r="B22" s="165" t="s">
        <v>326</v>
      </c>
      <c r="C22" s="155"/>
      <c r="D22" s="155"/>
      <c r="E22" s="155"/>
      <c r="F22" s="155"/>
      <c r="G22" s="144">
        <f>H22+L22</f>
        <v>300000</v>
      </c>
      <c r="H22" s="144"/>
      <c r="I22" s="144"/>
      <c r="J22" s="144"/>
      <c r="K22" s="144"/>
      <c r="L22" s="144">
        <f>SUM(M22:Q22)</f>
        <v>300000</v>
      </c>
      <c r="M22" s="144"/>
      <c r="N22" s="144">
        <v>300000</v>
      </c>
      <c r="O22" s="144"/>
      <c r="P22" s="144"/>
      <c r="Q22" s="144"/>
      <c r="R22" s="144"/>
      <c r="S22" s="130"/>
      <c r="T22" s="130"/>
      <c r="U22" s="130"/>
      <c r="V22" s="130"/>
    </row>
    <row r="23" spans="1:22" s="93" customFormat="1" ht="21.75" customHeight="1">
      <c r="A23" s="164" t="s">
        <v>11</v>
      </c>
      <c r="B23" s="165" t="s">
        <v>327</v>
      </c>
      <c r="C23" s="155"/>
      <c r="D23" s="155"/>
      <c r="E23" s="155"/>
      <c r="F23" s="155"/>
      <c r="G23" s="144">
        <f>H23+L23</f>
        <v>60000</v>
      </c>
      <c r="H23" s="144"/>
      <c r="I23" s="144"/>
      <c r="J23" s="144"/>
      <c r="K23" s="144"/>
      <c r="L23" s="144">
        <f>SUM(M23:Q23)</f>
        <v>60000</v>
      </c>
      <c r="M23" s="144"/>
      <c r="N23" s="144">
        <v>60000</v>
      </c>
      <c r="O23" s="144"/>
      <c r="P23" s="144"/>
      <c r="Q23" s="144"/>
      <c r="R23" s="144"/>
      <c r="S23" s="130"/>
      <c r="T23" s="130"/>
      <c r="U23" s="130"/>
      <c r="V23" s="130"/>
    </row>
    <row r="24" spans="1:22" s="93" customFormat="1" ht="21.75" customHeight="1">
      <c r="A24" s="164" t="s">
        <v>4</v>
      </c>
      <c r="B24" s="165" t="s">
        <v>277</v>
      </c>
      <c r="C24" s="155"/>
      <c r="D24" s="155"/>
      <c r="E24" s="155"/>
      <c r="F24" s="155"/>
      <c r="G24" s="144">
        <f>850000-G21</f>
        <v>490000</v>
      </c>
      <c r="H24" s="144"/>
      <c r="I24" s="144"/>
      <c r="J24" s="144"/>
      <c r="K24" s="144"/>
      <c r="L24" s="144"/>
      <c r="M24" s="144"/>
      <c r="N24" s="144"/>
      <c r="O24" s="144"/>
      <c r="P24" s="144"/>
      <c r="Q24" s="144"/>
      <c r="R24" s="144"/>
      <c r="S24" s="130"/>
      <c r="T24" s="130"/>
      <c r="U24" s="130"/>
      <c r="V24" s="130"/>
    </row>
    <row r="25" spans="1:22" s="93" customFormat="1" ht="32.25" customHeight="1">
      <c r="A25" s="139">
        <v>2</v>
      </c>
      <c r="B25" s="134" t="s">
        <v>440</v>
      </c>
      <c r="C25" s="139"/>
      <c r="D25" s="139"/>
      <c r="E25" s="139"/>
      <c r="F25" s="139"/>
      <c r="G25" s="140">
        <f aca="true" t="shared" si="3" ref="G25:R25">SUM(G26:G26)</f>
        <v>950000</v>
      </c>
      <c r="H25" s="140">
        <f t="shared" si="3"/>
        <v>398000</v>
      </c>
      <c r="I25" s="140">
        <f t="shared" si="3"/>
        <v>330000</v>
      </c>
      <c r="J25" s="140">
        <f t="shared" si="3"/>
        <v>68000</v>
      </c>
      <c r="K25" s="140">
        <f t="shared" si="3"/>
        <v>0</v>
      </c>
      <c r="L25" s="140">
        <f t="shared" si="3"/>
        <v>552000</v>
      </c>
      <c r="M25" s="140">
        <f t="shared" si="3"/>
        <v>312000</v>
      </c>
      <c r="N25" s="140">
        <f t="shared" si="3"/>
        <v>0</v>
      </c>
      <c r="O25" s="140">
        <f t="shared" si="3"/>
        <v>217000</v>
      </c>
      <c r="P25" s="140">
        <f t="shared" si="3"/>
        <v>23000</v>
      </c>
      <c r="Q25" s="140">
        <f t="shared" si="3"/>
        <v>0</v>
      </c>
      <c r="R25" s="140">
        <f t="shared" si="3"/>
        <v>0</v>
      </c>
      <c r="S25" s="130"/>
      <c r="T25" s="130"/>
      <c r="U25" s="130"/>
      <c r="V25" s="130"/>
    </row>
    <row r="26" spans="1:22" s="93" customFormat="1" ht="22.5" customHeight="1">
      <c r="A26" s="146" t="s">
        <v>4</v>
      </c>
      <c r="B26" s="134" t="s">
        <v>399</v>
      </c>
      <c r="C26" s="139">
        <f>SUM(D26:F26)</f>
        <v>4</v>
      </c>
      <c r="D26" s="139">
        <v>4</v>
      </c>
      <c r="E26" s="139"/>
      <c r="F26" s="139"/>
      <c r="G26" s="140">
        <f>H26+L26</f>
        <v>950000</v>
      </c>
      <c r="H26" s="140">
        <f>SUM(I26:K26)</f>
        <v>398000</v>
      </c>
      <c r="I26" s="140">
        <v>330000</v>
      </c>
      <c r="J26" s="140">
        <f>C26*17000</f>
        <v>68000</v>
      </c>
      <c r="K26" s="140"/>
      <c r="L26" s="140">
        <f>SUM(M26:Q26)</f>
        <v>552000</v>
      </c>
      <c r="M26" s="140">
        <v>312000</v>
      </c>
      <c r="N26" s="140"/>
      <c r="O26" s="140">
        <v>217000</v>
      </c>
      <c r="P26" s="140">
        <v>23000</v>
      </c>
      <c r="Q26" s="140"/>
      <c r="R26" s="140"/>
      <c r="S26" s="130"/>
      <c r="T26" s="130"/>
      <c r="U26" s="130"/>
      <c r="V26" s="130"/>
    </row>
    <row r="27" spans="1:20" ht="30.75" customHeight="1">
      <c r="A27" s="139">
        <v>3</v>
      </c>
      <c r="B27" s="134" t="s">
        <v>441</v>
      </c>
      <c r="C27" s="139"/>
      <c r="D27" s="139"/>
      <c r="E27" s="139"/>
      <c r="F27" s="139"/>
      <c r="G27" s="140">
        <f aca="true" t="shared" si="4" ref="G27:N27">G28</f>
        <v>2691000</v>
      </c>
      <c r="H27" s="140">
        <f t="shared" si="4"/>
        <v>0</v>
      </c>
      <c r="I27" s="140">
        <f t="shared" si="4"/>
        <v>0</v>
      </c>
      <c r="J27" s="140">
        <f t="shared" si="4"/>
        <v>0</v>
      </c>
      <c r="K27" s="140">
        <f t="shared" si="4"/>
        <v>0</v>
      </c>
      <c r="L27" s="140">
        <f t="shared" si="4"/>
        <v>2691000</v>
      </c>
      <c r="M27" s="140">
        <f t="shared" si="4"/>
        <v>0</v>
      </c>
      <c r="N27" s="140">
        <f t="shared" si="4"/>
        <v>0</v>
      </c>
      <c r="O27" s="140">
        <f>O28</f>
        <v>2691000</v>
      </c>
      <c r="P27" s="140">
        <f>SUM(P29:P29)</f>
        <v>0</v>
      </c>
      <c r="Q27" s="140">
        <f>SUM(Q29:Q29)</f>
        <v>0</v>
      </c>
      <c r="R27" s="140">
        <f>SUM(R29:R29)</f>
        <v>0</v>
      </c>
      <c r="S27" s="4"/>
      <c r="T27" s="4"/>
    </row>
    <row r="28" spans="1:20" ht="22.5" customHeight="1">
      <c r="A28" s="164" t="s">
        <v>4</v>
      </c>
      <c r="B28" s="165" t="s">
        <v>140</v>
      </c>
      <c r="C28" s="155">
        <f>SUM(D28:F28)</f>
        <v>0</v>
      </c>
      <c r="D28" s="155"/>
      <c r="E28" s="155"/>
      <c r="F28" s="155"/>
      <c r="G28" s="144">
        <v>2691000</v>
      </c>
      <c r="H28" s="144">
        <f>SUM(I28:K28)</f>
        <v>0</v>
      </c>
      <c r="I28" s="144"/>
      <c r="J28" s="144">
        <f>C28*17000</f>
        <v>0</v>
      </c>
      <c r="K28" s="144"/>
      <c r="L28" s="144">
        <f>SUM(M28:Q28)</f>
        <v>2691000</v>
      </c>
      <c r="M28" s="144"/>
      <c r="N28" s="144"/>
      <c r="O28" s="144">
        <v>2691000</v>
      </c>
      <c r="P28" s="144"/>
      <c r="Q28" s="144"/>
      <c r="R28" s="144"/>
      <c r="S28" s="4"/>
      <c r="T28" s="4"/>
    </row>
    <row r="29" spans="1:22" s="93" customFormat="1" ht="18.75" customHeight="1">
      <c r="A29" s="155">
        <v>4</v>
      </c>
      <c r="B29" s="165" t="s">
        <v>417</v>
      </c>
      <c r="C29" s="155"/>
      <c r="D29" s="155"/>
      <c r="E29" s="155"/>
      <c r="F29" s="155"/>
      <c r="G29" s="144">
        <f>SUM(G31:G38)</f>
        <v>850000</v>
      </c>
      <c r="H29" s="144">
        <f aca="true" t="shared" si="5" ref="H29:O29">SUM(H31:H38)</f>
        <v>0</v>
      </c>
      <c r="I29" s="144">
        <f t="shared" si="5"/>
        <v>0</v>
      </c>
      <c r="J29" s="144">
        <f t="shared" si="5"/>
        <v>0</v>
      </c>
      <c r="K29" s="144">
        <f t="shared" si="5"/>
        <v>0</v>
      </c>
      <c r="L29" s="144">
        <f t="shared" si="5"/>
        <v>779200</v>
      </c>
      <c r="M29" s="144">
        <f t="shared" si="5"/>
        <v>0</v>
      </c>
      <c r="N29" s="144">
        <f t="shared" si="5"/>
        <v>779200</v>
      </c>
      <c r="O29" s="144">
        <f t="shared" si="5"/>
        <v>0</v>
      </c>
      <c r="P29" s="144"/>
      <c r="Q29" s="144"/>
      <c r="R29" s="144"/>
      <c r="S29" s="130"/>
      <c r="T29" s="130"/>
      <c r="U29" s="130"/>
      <c r="V29" s="130"/>
    </row>
    <row r="30" spans="1:22" s="93" customFormat="1" ht="21.75" customHeight="1">
      <c r="A30" s="155" t="s">
        <v>413</v>
      </c>
      <c r="B30" s="165" t="s">
        <v>415</v>
      </c>
      <c r="C30" s="155"/>
      <c r="D30" s="155"/>
      <c r="E30" s="155"/>
      <c r="F30" s="155"/>
      <c r="G30" s="144">
        <f aca="true" t="shared" si="6" ref="G30:M30">SUM(G31:G37)</f>
        <v>779200</v>
      </c>
      <c r="H30" s="144">
        <f t="shared" si="6"/>
        <v>0</v>
      </c>
      <c r="I30" s="144">
        <f t="shared" si="6"/>
        <v>0</v>
      </c>
      <c r="J30" s="144">
        <f t="shared" si="6"/>
        <v>0</v>
      </c>
      <c r="K30" s="144">
        <f t="shared" si="6"/>
        <v>0</v>
      </c>
      <c r="L30" s="144">
        <f t="shared" si="6"/>
        <v>779200</v>
      </c>
      <c r="M30" s="144">
        <f t="shared" si="6"/>
        <v>0</v>
      </c>
      <c r="N30" s="144">
        <f>SUM(N31:N37)</f>
        <v>779200</v>
      </c>
      <c r="O30" s="144"/>
      <c r="P30" s="144"/>
      <c r="Q30" s="144"/>
      <c r="R30" s="144"/>
      <c r="S30" s="130"/>
      <c r="T30" s="130"/>
      <c r="U30" s="130"/>
      <c r="V30" s="130"/>
    </row>
    <row r="31" spans="1:22" s="93" customFormat="1" ht="22.5" customHeight="1">
      <c r="A31" s="146" t="s">
        <v>4</v>
      </c>
      <c r="B31" s="132" t="s">
        <v>442</v>
      </c>
      <c r="C31" s="139">
        <f>SUM(D31:F31)</f>
        <v>0</v>
      </c>
      <c r="D31" s="139"/>
      <c r="E31" s="139"/>
      <c r="F31" s="139"/>
      <c r="G31" s="140">
        <f aca="true" t="shared" si="7" ref="G31:G37">H31+L31</f>
        <v>182000</v>
      </c>
      <c r="H31" s="140">
        <f>SUM(I31:K31)</f>
        <v>0</v>
      </c>
      <c r="I31" s="140"/>
      <c r="J31" s="140">
        <f>C31*17000</f>
        <v>0</v>
      </c>
      <c r="K31" s="140"/>
      <c r="L31" s="140">
        <f aca="true" t="shared" si="8" ref="L31:L37">SUM(M31:Q31)</f>
        <v>182000</v>
      </c>
      <c r="M31" s="140"/>
      <c r="N31" s="140">
        <v>182000</v>
      </c>
      <c r="O31" s="140"/>
      <c r="P31" s="140"/>
      <c r="Q31" s="140"/>
      <c r="R31" s="140"/>
      <c r="S31" s="130"/>
      <c r="T31" s="130"/>
      <c r="U31" s="130"/>
      <c r="V31" s="130"/>
    </row>
    <row r="32" spans="1:22" s="93" customFormat="1" ht="22.5" customHeight="1">
      <c r="A32" s="146" t="s">
        <v>4</v>
      </c>
      <c r="B32" s="132" t="s">
        <v>443</v>
      </c>
      <c r="C32" s="139">
        <f>SUM(D32:F32)</f>
        <v>0</v>
      </c>
      <c r="D32" s="139"/>
      <c r="E32" s="139"/>
      <c r="F32" s="139"/>
      <c r="G32" s="140">
        <f t="shared" si="7"/>
        <v>85000</v>
      </c>
      <c r="H32" s="140">
        <f>SUM(I32:K32)</f>
        <v>0</v>
      </c>
      <c r="I32" s="140"/>
      <c r="J32" s="140">
        <f>C32*17000</f>
        <v>0</v>
      </c>
      <c r="K32" s="140"/>
      <c r="L32" s="140">
        <f t="shared" si="8"/>
        <v>85000</v>
      </c>
      <c r="M32" s="140"/>
      <c r="N32" s="140">
        <v>85000</v>
      </c>
      <c r="O32" s="140"/>
      <c r="P32" s="140"/>
      <c r="Q32" s="140"/>
      <c r="R32" s="140"/>
      <c r="S32" s="130"/>
      <c r="T32" s="130"/>
      <c r="U32" s="130"/>
      <c r="V32" s="130"/>
    </row>
    <row r="33" spans="1:22" s="93" customFormat="1" ht="22.5" customHeight="1">
      <c r="A33" s="146" t="s">
        <v>4</v>
      </c>
      <c r="B33" s="132" t="s">
        <v>444</v>
      </c>
      <c r="C33" s="139">
        <f>SUM(D33:F33)</f>
        <v>0</v>
      </c>
      <c r="D33" s="139"/>
      <c r="E33" s="139"/>
      <c r="F33" s="139"/>
      <c r="G33" s="140">
        <f t="shared" si="7"/>
        <v>100000</v>
      </c>
      <c r="H33" s="140">
        <f>SUM(I33:K33)</f>
        <v>0</v>
      </c>
      <c r="I33" s="140"/>
      <c r="J33" s="140">
        <f>C33*17000</f>
        <v>0</v>
      </c>
      <c r="K33" s="140"/>
      <c r="L33" s="140">
        <f t="shared" si="8"/>
        <v>100000</v>
      </c>
      <c r="M33" s="140"/>
      <c r="N33" s="140">
        <v>100000</v>
      </c>
      <c r="O33" s="140"/>
      <c r="P33" s="140"/>
      <c r="Q33" s="140"/>
      <c r="R33" s="140"/>
      <c r="S33" s="130"/>
      <c r="T33" s="130"/>
      <c r="U33" s="130"/>
      <c r="V33" s="130"/>
    </row>
    <row r="34" spans="1:22" s="93" customFormat="1" ht="22.5" customHeight="1">
      <c r="A34" s="146" t="s">
        <v>4</v>
      </c>
      <c r="B34" s="132" t="s">
        <v>445</v>
      </c>
      <c r="C34" s="139">
        <f>SUM(D34:F34)</f>
        <v>0</v>
      </c>
      <c r="D34" s="139"/>
      <c r="E34" s="139"/>
      <c r="F34" s="139"/>
      <c r="G34" s="140">
        <f t="shared" si="7"/>
        <v>95000</v>
      </c>
      <c r="H34" s="140">
        <f>SUM(I34:K34)</f>
        <v>0</v>
      </c>
      <c r="I34" s="140"/>
      <c r="J34" s="140">
        <f>C34*17000</f>
        <v>0</v>
      </c>
      <c r="K34" s="140"/>
      <c r="L34" s="140">
        <f t="shared" si="8"/>
        <v>95000</v>
      </c>
      <c r="M34" s="140"/>
      <c r="N34" s="140">
        <v>95000</v>
      </c>
      <c r="O34" s="140"/>
      <c r="P34" s="140"/>
      <c r="Q34" s="140"/>
      <c r="R34" s="140"/>
      <c r="S34" s="130"/>
      <c r="T34" s="130"/>
      <c r="U34" s="130"/>
      <c r="V34" s="130"/>
    </row>
    <row r="35" spans="1:22" s="93" customFormat="1" ht="22.5" customHeight="1">
      <c r="A35" s="146" t="s">
        <v>4</v>
      </c>
      <c r="B35" s="132" t="s">
        <v>446</v>
      </c>
      <c r="C35" s="139"/>
      <c r="D35" s="139"/>
      <c r="E35" s="139"/>
      <c r="F35" s="139"/>
      <c r="G35" s="140">
        <f t="shared" si="7"/>
        <v>130900</v>
      </c>
      <c r="H35" s="140"/>
      <c r="I35" s="140"/>
      <c r="J35" s="140"/>
      <c r="K35" s="140"/>
      <c r="L35" s="140">
        <f t="shared" si="8"/>
        <v>130900</v>
      </c>
      <c r="M35" s="140"/>
      <c r="N35" s="140">
        <v>130900</v>
      </c>
      <c r="O35" s="140"/>
      <c r="P35" s="140"/>
      <c r="Q35" s="140"/>
      <c r="R35" s="140"/>
      <c r="S35" s="130"/>
      <c r="T35" s="130"/>
      <c r="U35" s="130"/>
      <c r="V35" s="130"/>
    </row>
    <row r="36" spans="1:22" s="93" customFormat="1" ht="22.5" customHeight="1">
      <c r="A36" s="146" t="s">
        <v>4</v>
      </c>
      <c r="B36" s="132" t="s">
        <v>447</v>
      </c>
      <c r="C36" s="139"/>
      <c r="D36" s="139"/>
      <c r="E36" s="139"/>
      <c r="F36" s="139"/>
      <c r="G36" s="140">
        <f t="shared" si="7"/>
        <v>60000</v>
      </c>
      <c r="H36" s="140"/>
      <c r="I36" s="140"/>
      <c r="J36" s="140"/>
      <c r="K36" s="140"/>
      <c r="L36" s="140">
        <f t="shared" si="8"/>
        <v>60000</v>
      </c>
      <c r="M36" s="140"/>
      <c r="N36" s="140">
        <v>60000</v>
      </c>
      <c r="O36" s="140"/>
      <c r="P36" s="140"/>
      <c r="Q36" s="140"/>
      <c r="R36" s="140"/>
      <c r="S36" s="130"/>
      <c r="T36" s="130"/>
      <c r="U36" s="130"/>
      <c r="V36" s="130"/>
    </row>
    <row r="37" spans="1:22" s="93" customFormat="1" ht="22.5" customHeight="1">
      <c r="A37" s="146" t="s">
        <v>4</v>
      </c>
      <c r="B37" s="132" t="s">
        <v>400</v>
      </c>
      <c r="C37" s="139"/>
      <c r="D37" s="139"/>
      <c r="E37" s="139"/>
      <c r="F37" s="139"/>
      <c r="G37" s="140">
        <f t="shared" si="7"/>
        <v>126300</v>
      </c>
      <c r="H37" s="140"/>
      <c r="I37" s="140"/>
      <c r="J37" s="140"/>
      <c r="K37" s="140"/>
      <c r="L37" s="140">
        <f t="shared" si="8"/>
        <v>126300</v>
      </c>
      <c r="M37" s="140"/>
      <c r="N37" s="140">
        <v>126300</v>
      </c>
      <c r="O37" s="140"/>
      <c r="P37" s="140"/>
      <c r="Q37" s="140"/>
      <c r="R37" s="140"/>
      <c r="S37" s="130"/>
      <c r="T37" s="130"/>
      <c r="U37" s="130"/>
      <c r="V37" s="130"/>
    </row>
    <row r="38" spans="1:22" s="93" customFormat="1" ht="21" customHeight="1">
      <c r="A38" s="146" t="s">
        <v>414</v>
      </c>
      <c r="B38" s="132" t="s">
        <v>277</v>
      </c>
      <c r="C38" s="139"/>
      <c r="D38" s="139"/>
      <c r="E38" s="139"/>
      <c r="F38" s="139"/>
      <c r="G38" s="140">
        <f>850000-SUM(G31:G37)</f>
        <v>70800</v>
      </c>
      <c r="H38" s="140"/>
      <c r="I38" s="140"/>
      <c r="J38" s="140"/>
      <c r="K38" s="140"/>
      <c r="L38" s="140"/>
      <c r="M38" s="140"/>
      <c r="N38" s="140"/>
      <c r="O38" s="140"/>
      <c r="P38" s="140"/>
      <c r="Q38" s="140"/>
      <c r="R38" s="140"/>
      <c r="S38" s="130"/>
      <c r="T38" s="130"/>
      <c r="U38" s="130"/>
      <c r="V38" s="130"/>
    </row>
    <row r="39" spans="1:22" s="93" customFormat="1" ht="30.75" customHeight="1">
      <c r="A39" s="164">
        <v>5</v>
      </c>
      <c r="B39" s="165" t="s">
        <v>448</v>
      </c>
      <c r="C39" s="155"/>
      <c r="D39" s="155"/>
      <c r="E39" s="155"/>
      <c r="F39" s="155"/>
      <c r="G39" s="144">
        <f aca="true" t="shared" si="9" ref="G39:P39">SUM(G40:G42)</f>
        <v>500000</v>
      </c>
      <c r="H39" s="144">
        <f t="shared" si="9"/>
        <v>0</v>
      </c>
      <c r="I39" s="144">
        <f t="shared" si="9"/>
        <v>0</v>
      </c>
      <c r="J39" s="144">
        <f t="shared" si="9"/>
        <v>0</v>
      </c>
      <c r="K39" s="144">
        <f t="shared" si="9"/>
        <v>0</v>
      </c>
      <c r="L39" s="144">
        <f t="shared" si="9"/>
        <v>500000</v>
      </c>
      <c r="M39" s="144">
        <f t="shared" si="9"/>
        <v>0</v>
      </c>
      <c r="N39" s="144">
        <f t="shared" si="9"/>
        <v>0</v>
      </c>
      <c r="O39" s="144">
        <f t="shared" si="9"/>
        <v>0</v>
      </c>
      <c r="P39" s="144">
        <f t="shared" si="9"/>
        <v>500000</v>
      </c>
      <c r="Q39" s="144"/>
      <c r="R39" s="144"/>
      <c r="S39" s="130"/>
      <c r="T39" s="130"/>
      <c r="U39" s="130"/>
      <c r="V39" s="130"/>
    </row>
    <row r="40" spans="1:22" s="93" customFormat="1" ht="30.75" customHeight="1">
      <c r="A40" s="146" t="s">
        <v>4</v>
      </c>
      <c r="B40" s="133" t="s">
        <v>567</v>
      </c>
      <c r="C40" s="139">
        <v>0</v>
      </c>
      <c r="D40" s="139"/>
      <c r="E40" s="139"/>
      <c r="F40" s="139"/>
      <c r="G40" s="140">
        <f>H40+L40</f>
        <v>229100</v>
      </c>
      <c r="H40" s="140">
        <v>0</v>
      </c>
      <c r="I40" s="140"/>
      <c r="J40" s="140">
        <v>0</v>
      </c>
      <c r="K40" s="140"/>
      <c r="L40" s="140">
        <f>SUM(M40:Q40)</f>
        <v>229100</v>
      </c>
      <c r="M40" s="140"/>
      <c r="N40" s="140"/>
      <c r="O40" s="140"/>
      <c r="P40" s="140">
        <v>229100</v>
      </c>
      <c r="Q40" s="140"/>
      <c r="R40" s="140"/>
      <c r="S40" s="130"/>
      <c r="T40" s="130"/>
      <c r="U40" s="130"/>
      <c r="V40" s="130"/>
    </row>
    <row r="41" spans="1:22" s="93" customFormat="1" ht="33" customHeight="1">
      <c r="A41" s="146" t="s">
        <v>4</v>
      </c>
      <c r="B41" s="133" t="s">
        <v>450</v>
      </c>
      <c r="C41" s="139"/>
      <c r="D41" s="139"/>
      <c r="E41" s="139"/>
      <c r="F41" s="139"/>
      <c r="G41" s="140">
        <f>H41+L41</f>
        <v>270900</v>
      </c>
      <c r="H41" s="140"/>
      <c r="I41" s="140"/>
      <c r="J41" s="140"/>
      <c r="K41" s="140"/>
      <c r="L41" s="140">
        <f>SUM(M41:Q41)</f>
        <v>270900</v>
      </c>
      <c r="M41" s="140"/>
      <c r="N41" s="140"/>
      <c r="O41" s="140"/>
      <c r="P41" s="140">
        <f>367100-96200</f>
        <v>270900</v>
      </c>
      <c r="Q41" s="140"/>
      <c r="R41" s="140"/>
      <c r="S41" s="130"/>
      <c r="T41" s="130"/>
      <c r="U41" s="130"/>
      <c r="V41" s="130"/>
    </row>
    <row r="42" spans="1:20" ht="21" customHeight="1">
      <c r="A42" s="146" t="s">
        <v>4</v>
      </c>
      <c r="B42" s="132" t="s">
        <v>277</v>
      </c>
      <c r="C42" s="139"/>
      <c r="D42" s="139"/>
      <c r="E42" s="139"/>
      <c r="F42" s="139"/>
      <c r="G42" s="140">
        <f>500000-G40-G41</f>
        <v>0</v>
      </c>
      <c r="H42" s="140"/>
      <c r="I42" s="140"/>
      <c r="J42" s="140"/>
      <c r="K42" s="140"/>
      <c r="L42" s="140"/>
      <c r="M42" s="140"/>
      <c r="N42" s="140"/>
      <c r="O42" s="140"/>
      <c r="P42" s="140"/>
      <c r="Q42" s="140"/>
      <c r="R42" s="140"/>
      <c r="S42" s="4"/>
      <c r="T42" s="4"/>
    </row>
    <row r="43" spans="1:22" s="93" customFormat="1" ht="19.5" customHeight="1">
      <c r="A43" s="139">
        <v>6</v>
      </c>
      <c r="B43" s="134" t="s">
        <v>514</v>
      </c>
      <c r="C43" s="139"/>
      <c r="D43" s="139"/>
      <c r="E43" s="139"/>
      <c r="F43" s="139"/>
      <c r="G43" s="140">
        <f>SUM(G44:G45)</f>
        <v>2000000</v>
      </c>
      <c r="H43" s="140">
        <f aca="true" t="shared" si="10" ref="H43:R43">SUM(H44:H45)</f>
        <v>0</v>
      </c>
      <c r="I43" s="140">
        <f t="shared" si="10"/>
        <v>0</v>
      </c>
      <c r="J43" s="140">
        <f t="shared" si="10"/>
        <v>0</v>
      </c>
      <c r="K43" s="140">
        <f t="shared" si="10"/>
        <v>0</v>
      </c>
      <c r="L43" s="140">
        <f t="shared" si="10"/>
        <v>1500000</v>
      </c>
      <c r="M43" s="140">
        <f t="shared" si="10"/>
        <v>0</v>
      </c>
      <c r="N43" s="140">
        <f t="shared" si="10"/>
        <v>0</v>
      </c>
      <c r="O43" s="140">
        <f t="shared" si="10"/>
        <v>0</v>
      </c>
      <c r="P43" s="140">
        <f t="shared" si="10"/>
        <v>1500000</v>
      </c>
      <c r="Q43" s="140">
        <f t="shared" si="10"/>
        <v>0</v>
      </c>
      <c r="R43" s="140">
        <f t="shared" si="10"/>
        <v>0</v>
      </c>
      <c r="S43" s="130"/>
      <c r="T43" s="130"/>
      <c r="U43" s="130"/>
      <c r="V43" s="130"/>
    </row>
    <row r="44" spans="1:22" s="93" customFormat="1" ht="22.5" customHeight="1">
      <c r="A44" s="146" t="s">
        <v>4</v>
      </c>
      <c r="B44" s="134" t="s">
        <v>328</v>
      </c>
      <c r="C44" s="139">
        <v>0</v>
      </c>
      <c r="D44" s="139"/>
      <c r="E44" s="139"/>
      <c r="F44" s="139"/>
      <c r="G44" s="140">
        <f>H44+L44+R44</f>
        <v>1500000</v>
      </c>
      <c r="H44" s="140">
        <v>0</v>
      </c>
      <c r="I44" s="140"/>
      <c r="J44" s="140">
        <v>0</v>
      </c>
      <c r="K44" s="140"/>
      <c r="L44" s="140">
        <f>SUM(M44:Q44)</f>
        <v>1500000</v>
      </c>
      <c r="M44" s="140"/>
      <c r="N44" s="140"/>
      <c r="O44" s="140"/>
      <c r="P44" s="140">
        <v>1500000</v>
      </c>
      <c r="Q44" s="140"/>
      <c r="R44" s="140"/>
      <c r="S44" s="130"/>
      <c r="T44" s="130"/>
      <c r="U44" s="130"/>
      <c r="V44" s="130"/>
    </row>
    <row r="45" spans="1:22" s="93" customFormat="1" ht="21" customHeight="1">
      <c r="A45" s="146" t="s">
        <v>4</v>
      </c>
      <c r="B45" s="132" t="s">
        <v>277</v>
      </c>
      <c r="C45" s="139"/>
      <c r="D45" s="139"/>
      <c r="E45" s="139"/>
      <c r="F45" s="139"/>
      <c r="G45" s="140">
        <f>2000000-G44</f>
        <v>500000</v>
      </c>
      <c r="H45" s="140"/>
      <c r="I45" s="140"/>
      <c r="J45" s="140"/>
      <c r="K45" s="140"/>
      <c r="L45" s="140"/>
      <c r="M45" s="140"/>
      <c r="N45" s="140"/>
      <c r="O45" s="140"/>
      <c r="P45" s="140"/>
      <c r="Q45" s="140"/>
      <c r="R45" s="140"/>
      <c r="S45" s="130"/>
      <c r="T45" s="130"/>
      <c r="U45" s="130"/>
      <c r="V45" s="130"/>
    </row>
    <row r="46" spans="1:20" ht="21" customHeight="1">
      <c r="A46" s="139">
        <v>7</v>
      </c>
      <c r="B46" s="134" t="s">
        <v>36</v>
      </c>
      <c r="C46" s="139"/>
      <c r="D46" s="139"/>
      <c r="E46" s="139"/>
      <c r="F46" s="139"/>
      <c r="G46" s="140">
        <v>10000000</v>
      </c>
      <c r="H46" s="140">
        <f aca="true" t="shared" si="11" ref="H46:H53">SUM(I46:K46)</f>
        <v>0</v>
      </c>
      <c r="I46" s="140"/>
      <c r="J46" s="140"/>
      <c r="K46" s="140"/>
      <c r="L46" s="140">
        <f aca="true" t="shared" si="12" ref="L46:L67">SUM(M46:Q46)</f>
        <v>0</v>
      </c>
      <c r="M46" s="140"/>
      <c r="N46" s="140"/>
      <c r="O46" s="140"/>
      <c r="P46" s="140"/>
      <c r="Q46" s="140"/>
      <c r="R46" s="140"/>
      <c r="S46" s="4"/>
      <c r="T46" s="4"/>
    </row>
    <row r="47" spans="1:22" s="93" customFormat="1" ht="23.25" customHeight="1">
      <c r="A47" s="155">
        <v>8</v>
      </c>
      <c r="B47" s="156" t="s">
        <v>37</v>
      </c>
      <c r="C47" s="155"/>
      <c r="D47" s="155"/>
      <c r="E47" s="155"/>
      <c r="F47" s="155"/>
      <c r="G47" s="144">
        <f>SUM(G48:G52)</f>
        <v>450000</v>
      </c>
      <c r="H47" s="144">
        <f aca="true" t="shared" si="13" ref="H47:Q47">SUM(H48:H52)</f>
        <v>0</v>
      </c>
      <c r="I47" s="144">
        <f t="shared" si="13"/>
        <v>0</v>
      </c>
      <c r="J47" s="144">
        <f t="shared" si="13"/>
        <v>0</v>
      </c>
      <c r="K47" s="144">
        <f t="shared" si="13"/>
        <v>0</v>
      </c>
      <c r="L47" s="144">
        <f t="shared" si="13"/>
        <v>326000</v>
      </c>
      <c r="M47" s="144">
        <f t="shared" si="13"/>
        <v>0</v>
      </c>
      <c r="N47" s="144">
        <f t="shared" si="13"/>
        <v>326000</v>
      </c>
      <c r="O47" s="144">
        <f t="shared" si="13"/>
        <v>0</v>
      </c>
      <c r="P47" s="144">
        <f t="shared" si="13"/>
        <v>0</v>
      </c>
      <c r="Q47" s="144">
        <f t="shared" si="13"/>
        <v>0</v>
      </c>
      <c r="R47" s="144"/>
      <c r="S47" s="130"/>
      <c r="T47" s="130"/>
      <c r="U47" s="130"/>
      <c r="V47" s="130"/>
    </row>
    <row r="48" spans="1:22" s="93" customFormat="1" ht="23.25" customHeight="1">
      <c r="A48" s="139" t="s">
        <v>4</v>
      </c>
      <c r="B48" s="147" t="s">
        <v>330</v>
      </c>
      <c r="C48" s="139"/>
      <c r="D48" s="139"/>
      <c r="E48" s="139"/>
      <c r="F48" s="139"/>
      <c r="G48" s="140">
        <f>H48+L48</f>
        <v>231000</v>
      </c>
      <c r="H48" s="138">
        <f t="shared" si="11"/>
        <v>0</v>
      </c>
      <c r="I48" s="140"/>
      <c r="J48" s="140"/>
      <c r="K48" s="140"/>
      <c r="L48" s="138">
        <f t="shared" si="12"/>
        <v>231000</v>
      </c>
      <c r="M48" s="140"/>
      <c r="N48" s="140">
        <v>231000</v>
      </c>
      <c r="O48" s="140"/>
      <c r="P48" s="140"/>
      <c r="Q48" s="140"/>
      <c r="R48" s="140"/>
      <c r="S48" s="130"/>
      <c r="T48" s="130"/>
      <c r="U48" s="130"/>
      <c r="V48" s="130"/>
    </row>
    <row r="49" spans="1:22" s="93" customFormat="1" ht="18.75" customHeight="1">
      <c r="A49" s="139" t="s">
        <v>4</v>
      </c>
      <c r="B49" s="147" t="s">
        <v>387</v>
      </c>
      <c r="C49" s="139"/>
      <c r="D49" s="139"/>
      <c r="E49" s="139"/>
      <c r="F49" s="139"/>
      <c r="G49" s="140">
        <f>H49+L49</f>
        <v>65000</v>
      </c>
      <c r="H49" s="138">
        <f>SUM(I49:K49)</f>
        <v>0</v>
      </c>
      <c r="I49" s="140"/>
      <c r="J49" s="140"/>
      <c r="K49" s="140"/>
      <c r="L49" s="138">
        <f>SUM(M49:Q49)</f>
        <v>65000</v>
      </c>
      <c r="M49" s="140"/>
      <c r="N49" s="140">
        <f>296000-N48</f>
        <v>65000</v>
      </c>
      <c r="O49" s="140"/>
      <c r="P49" s="140"/>
      <c r="Q49" s="140"/>
      <c r="R49" s="140"/>
      <c r="S49" s="130"/>
      <c r="T49" s="130"/>
      <c r="U49" s="130"/>
      <c r="V49" s="130"/>
    </row>
    <row r="50" spans="1:22" s="93" customFormat="1" ht="20.25" customHeight="1">
      <c r="A50" s="139" t="s">
        <v>4</v>
      </c>
      <c r="B50" s="147" t="s">
        <v>329</v>
      </c>
      <c r="C50" s="139"/>
      <c r="D50" s="139"/>
      <c r="E50" s="139"/>
      <c r="F50" s="139"/>
      <c r="G50" s="140">
        <f>H50+L50</f>
        <v>20000</v>
      </c>
      <c r="H50" s="138">
        <f t="shared" si="11"/>
        <v>0</v>
      </c>
      <c r="I50" s="140"/>
      <c r="J50" s="140"/>
      <c r="K50" s="140"/>
      <c r="L50" s="138">
        <f t="shared" si="12"/>
        <v>20000</v>
      </c>
      <c r="M50" s="140"/>
      <c r="N50" s="140">
        <v>20000</v>
      </c>
      <c r="O50" s="140"/>
      <c r="P50" s="140"/>
      <c r="Q50" s="140"/>
      <c r="R50" s="140"/>
      <c r="S50" s="130"/>
      <c r="T50" s="130"/>
      <c r="U50" s="130"/>
      <c r="V50" s="130"/>
    </row>
    <row r="51" spans="1:22" s="93" customFormat="1" ht="19.5" customHeight="1">
      <c r="A51" s="139" t="s">
        <v>4</v>
      </c>
      <c r="B51" s="147" t="s">
        <v>454</v>
      </c>
      <c r="C51" s="139"/>
      <c r="D51" s="139"/>
      <c r="E51" s="139"/>
      <c r="F51" s="139"/>
      <c r="G51" s="140">
        <f>H51+L51</f>
        <v>10000</v>
      </c>
      <c r="H51" s="138">
        <f t="shared" si="11"/>
        <v>0</v>
      </c>
      <c r="I51" s="140"/>
      <c r="J51" s="140"/>
      <c r="K51" s="140"/>
      <c r="L51" s="138">
        <f t="shared" si="12"/>
        <v>10000</v>
      </c>
      <c r="M51" s="140"/>
      <c r="N51" s="140">
        <v>10000</v>
      </c>
      <c r="O51" s="140"/>
      <c r="P51" s="140"/>
      <c r="Q51" s="140"/>
      <c r="R51" s="140"/>
      <c r="S51" s="130"/>
      <c r="T51" s="130"/>
      <c r="U51" s="130"/>
      <c r="V51" s="130"/>
    </row>
    <row r="52" spans="1:22" s="93" customFormat="1" ht="18.75" customHeight="1">
      <c r="A52" s="139" t="s">
        <v>4</v>
      </c>
      <c r="B52" s="147" t="s">
        <v>277</v>
      </c>
      <c r="C52" s="139"/>
      <c r="D52" s="139"/>
      <c r="E52" s="139"/>
      <c r="F52" s="139"/>
      <c r="G52" s="140">
        <f>450000-G48-G50-G51-G49</f>
        <v>124000</v>
      </c>
      <c r="H52" s="138">
        <f t="shared" si="11"/>
        <v>0</v>
      </c>
      <c r="I52" s="140"/>
      <c r="J52" s="140"/>
      <c r="K52" s="140"/>
      <c r="L52" s="138">
        <f t="shared" si="12"/>
        <v>0</v>
      </c>
      <c r="M52" s="140"/>
      <c r="N52" s="140"/>
      <c r="O52" s="140"/>
      <c r="P52" s="140"/>
      <c r="Q52" s="140"/>
      <c r="R52" s="140"/>
      <c r="S52" s="130"/>
      <c r="T52" s="130"/>
      <c r="U52" s="130"/>
      <c r="V52" s="130"/>
    </row>
    <row r="53" spans="1:22" s="93" customFormat="1" ht="20.25" customHeight="1">
      <c r="A53" s="139">
        <v>9</v>
      </c>
      <c r="B53" s="147" t="s">
        <v>38</v>
      </c>
      <c r="C53" s="139"/>
      <c r="D53" s="139"/>
      <c r="E53" s="139"/>
      <c r="F53" s="139"/>
      <c r="G53" s="140">
        <v>1050000</v>
      </c>
      <c r="H53" s="140">
        <f t="shared" si="11"/>
        <v>0</v>
      </c>
      <c r="I53" s="140"/>
      <c r="J53" s="140"/>
      <c r="K53" s="140"/>
      <c r="L53" s="140">
        <f>SUM(L54:L56)</f>
        <v>1050000</v>
      </c>
      <c r="M53" s="140">
        <f>SUM(M54:M56)</f>
        <v>0</v>
      </c>
      <c r="N53" s="140">
        <f>SUM(N54:N56)</f>
        <v>0</v>
      </c>
      <c r="O53" s="140">
        <f>SUM(O54:O56)</f>
        <v>1050000</v>
      </c>
      <c r="P53" s="140"/>
      <c r="Q53" s="140"/>
      <c r="R53" s="140"/>
      <c r="S53" s="130"/>
      <c r="T53" s="130"/>
      <c r="U53" s="130"/>
      <c r="V53" s="130"/>
    </row>
    <row r="54" spans="1:22" s="93" customFormat="1" ht="22.5" customHeight="1">
      <c r="A54" s="146" t="s">
        <v>4</v>
      </c>
      <c r="B54" s="147" t="s">
        <v>329</v>
      </c>
      <c r="C54" s="139"/>
      <c r="D54" s="139"/>
      <c r="E54" s="139"/>
      <c r="F54" s="139"/>
      <c r="G54" s="140">
        <f>H54+L54</f>
        <v>298000</v>
      </c>
      <c r="H54" s="140"/>
      <c r="I54" s="140"/>
      <c r="J54" s="140"/>
      <c r="K54" s="140"/>
      <c r="L54" s="140">
        <f t="shared" si="12"/>
        <v>298000</v>
      </c>
      <c r="M54" s="140"/>
      <c r="N54" s="140"/>
      <c r="O54" s="140">
        <v>298000</v>
      </c>
      <c r="P54" s="140"/>
      <c r="Q54" s="140"/>
      <c r="R54" s="140"/>
      <c r="S54" s="130"/>
      <c r="T54" s="130"/>
      <c r="U54" s="130"/>
      <c r="V54" s="130"/>
    </row>
    <row r="55" spans="1:22" s="93" customFormat="1" ht="33" customHeight="1">
      <c r="A55" s="146" t="s">
        <v>4</v>
      </c>
      <c r="B55" s="134" t="s">
        <v>455</v>
      </c>
      <c r="C55" s="139"/>
      <c r="D55" s="139"/>
      <c r="E55" s="139"/>
      <c r="F55" s="139"/>
      <c r="G55" s="140">
        <f>H55+L55</f>
        <v>752000</v>
      </c>
      <c r="H55" s="140"/>
      <c r="I55" s="140"/>
      <c r="J55" s="140"/>
      <c r="K55" s="140"/>
      <c r="L55" s="140">
        <f t="shared" si="12"/>
        <v>752000</v>
      </c>
      <c r="M55" s="140"/>
      <c r="N55" s="140"/>
      <c r="O55" s="140">
        <f>827000-65500-9500</f>
        <v>752000</v>
      </c>
      <c r="P55" s="140"/>
      <c r="Q55" s="140"/>
      <c r="R55" s="140"/>
      <c r="S55" s="130"/>
      <c r="T55" s="130"/>
      <c r="U55" s="130"/>
      <c r="V55" s="130"/>
    </row>
    <row r="56" spans="1:22" s="93" customFormat="1" ht="22.5" customHeight="1">
      <c r="A56" s="146" t="s">
        <v>4</v>
      </c>
      <c r="B56" s="147" t="s">
        <v>277</v>
      </c>
      <c r="C56" s="139"/>
      <c r="D56" s="139"/>
      <c r="E56" s="139"/>
      <c r="F56" s="139"/>
      <c r="G56" s="140">
        <f>1050000-G54-G55</f>
        <v>0</v>
      </c>
      <c r="H56" s="140"/>
      <c r="I56" s="140"/>
      <c r="J56" s="140"/>
      <c r="K56" s="140"/>
      <c r="L56" s="140">
        <f t="shared" si="12"/>
        <v>0</v>
      </c>
      <c r="M56" s="140"/>
      <c r="N56" s="140"/>
      <c r="O56" s="140"/>
      <c r="P56" s="140"/>
      <c r="Q56" s="140"/>
      <c r="R56" s="140"/>
      <c r="S56" s="130"/>
      <c r="T56" s="130"/>
      <c r="U56" s="130"/>
      <c r="V56" s="130"/>
    </row>
    <row r="57" spans="1:22" s="93" customFormat="1" ht="22.5" customHeight="1">
      <c r="A57" s="139">
        <v>10</v>
      </c>
      <c r="B57" s="147" t="s">
        <v>280</v>
      </c>
      <c r="C57" s="139"/>
      <c r="D57" s="139"/>
      <c r="E57" s="139"/>
      <c r="F57" s="139"/>
      <c r="G57" s="140">
        <f>SUM(G59:G67)</f>
        <v>1200000</v>
      </c>
      <c r="H57" s="140">
        <f aca="true" t="shared" si="14" ref="H57:Q57">SUM(H59:H67)</f>
        <v>0</v>
      </c>
      <c r="I57" s="140">
        <f t="shared" si="14"/>
        <v>0</v>
      </c>
      <c r="J57" s="140">
        <f t="shared" si="14"/>
        <v>0</v>
      </c>
      <c r="K57" s="140">
        <f t="shared" si="14"/>
        <v>0</v>
      </c>
      <c r="L57" s="148">
        <f t="shared" si="14"/>
        <v>912976.5</v>
      </c>
      <c r="M57" s="148">
        <f t="shared" si="14"/>
        <v>0</v>
      </c>
      <c r="N57" s="148">
        <f t="shared" si="14"/>
        <v>912976.5</v>
      </c>
      <c r="O57" s="140">
        <f t="shared" si="14"/>
        <v>0</v>
      </c>
      <c r="P57" s="140">
        <f t="shared" si="14"/>
        <v>0</v>
      </c>
      <c r="Q57" s="140">
        <f t="shared" si="14"/>
        <v>0</v>
      </c>
      <c r="R57" s="140"/>
      <c r="S57" s="130"/>
      <c r="T57" s="130"/>
      <c r="U57" s="130"/>
      <c r="V57" s="130"/>
    </row>
    <row r="58" spans="1:22" s="93" customFormat="1" ht="32.25" customHeight="1">
      <c r="A58" s="155" t="s">
        <v>389</v>
      </c>
      <c r="B58" s="165" t="s">
        <v>456</v>
      </c>
      <c r="C58" s="155"/>
      <c r="D58" s="155"/>
      <c r="E58" s="155"/>
      <c r="F58" s="155"/>
      <c r="G58" s="166">
        <f>SUM(G59:G66)</f>
        <v>912976.5</v>
      </c>
      <c r="H58" s="144">
        <f aca="true" t="shared" si="15" ref="H58:N58">SUM(H59:H66)</f>
        <v>0</v>
      </c>
      <c r="I58" s="144">
        <f t="shared" si="15"/>
        <v>0</v>
      </c>
      <c r="J58" s="144">
        <f t="shared" si="15"/>
        <v>0</v>
      </c>
      <c r="K58" s="144">
        <f t="shared" si="15"/>
        <v>0</v>
      </c>
      <c r="L58" s="166">
        <f t="shared" si="15"/>
        <v>912976.5</v>
      </c>
      <c r="M58" s="166">
        <f t="shared" si="15"/>
        <v>0</v>
      </c>
      <c r="N58" s="166">
        <f t="shared" si="15"/>
        <v>912976.5</v>
      </c>
      <c r="O58" s="144"/>
      <c r="P58" s="144"/>
      <c r="Q58" s="144"/>
      <c r="R58" s="144"/>
      <c r="S58" s="130"/>
      <c r="T58" s="130"/>
      <c r="U58" s="130"/>
      <c r="V58" s="130"/>
    </row>
    <row r="59" spans="1:22" s="93" customFormat="1" ht="22.5" customHeight="1">
      <c r="A59" s="146" t="s">
        <v>4</v>
      </c>
      <c r="B59" s="132" t="s">
        <v>228</v>
      </c>
      <c r="C59" s="139">
        <f>SUM(D59:F59)</f>
        <v>0</v>
      </c>
      <c r="D59" s="139"/>
      <c r="E59" s="139"/>
      <c r="F59" s="139"/>
      <c r="G59" s="140">
        <f aca="true" t="shared" si="16" ref="G59:G66">H59+L59</f>
        <v>38100</v>
      </c>
      <c r="H59" s="140">
        <f>SUM(I59:K59)</f>
        <v>0</v>
      </c>
      <c r="I59" s="140"/>
      <c r="J59" s="140">
        <f>C59*17000</f>
        <v>0</v>
      </c>
      <c r="K59" s="140"/>
      <c r="L59" s="140">
        <f t="shared" si="12"/>
        <v>38100</v>
      </c>
      <c r="M59" s="140"/>
      <c r="N59" s="140">
        <v>38100</v>
      </c>
      <c r="O59" s="140"/>
      <c r="P59" s="140"/>
      <c r="Q59" s="140"/>
      <c r="R59" s="140"/>
      <c r="S59" s="130"/>
      <c r="T59" s="130"/>
      <c r="U59" s="130"/>
      <c r="V59" s="130"/>
    </row>
    <row r="60" spans="1:22" s="93" customFormat="1" ht="22.5" customHeight="1">
      <c r="A60" s="146" t="s">
        <v>4</v>
      </c>
      <c r="B60" s="132" t="s">
        <v>229</v>
      </c>
      <c r="C60" s="139">
        <f>SUM(D60:F60)</f>
        <v>0</v>
      </c>
      <c r="D60" s="139"/>
      <c r="E60" s="139"/>
      <c r="F60" s="139"/>
      <c r="G60" s="140">
        <f t="shared" si="16"/>
        <v>74700</v>
      </c>
      <c r="H60" s="140">
        <f>SUM(I60:K60)</f>
        <v>0</v>
      </c>
      <c r="I60" s="140"/>
      <c r="J60" s="140">
        <f>C60*17000</f>
        <v>0</v>
      </c>
      <c r="K60" s="140"/>
      <c r="L60" s="140">
        <f t="shared" si="12"/>
        <v>74700</v>
      </c>
      <c r="M60" s="140"/>
      <c r="N60" s="140">
        <v>74700</v>
      </c>
      <c r="O60" s="140"/>
      <c r="P60" s="140"/>
      <c r="Q60" s="140"/>
      <c r="R60" s="140"/>
      <c r="S60" s="130"/>
      <c r="T60" s="130"/>
      <c r="U60" s="130"/>
      <c r="V60" s="130"/>
    </row>
    <row r="61" spans="1:22" s="93" customFormat="1" ht="22.5" customHeight="1">
      <c r="A61" s="146" t="s">
        <v>4</v>
      </c>
      <c r="B61" s="132" t="s">
        <v>230</v>
      </c>
      <c r="C61" s="139">
        <f>SUM(D61:F61)</f>
        <v>0</v>
      </c>
      <c r="D61" s="139"/>
      <c r="E61" s="139"/>
      <c r="F61" s="139"/>
      <c r="G61" s="140">
        <f t="shared" si="16"/>
        <v>126900</v>
      </c>
      <c r="H61" s="140">
        <f>SUM(I61:K61)</f>
        <v>0</v>
      </c>
      <c r="I61" s="140"/>
      <c r="J61" s="140">
        <f>C61*17000</f>
        <v>0</v>
      </c>
      <c r="K61" s="140"/>
      <c r="L61" s="140">
        <f t="shared" si="12"/>
        <v>126900</v>
      </c>
      <c r="M61" s="140"/>
      <c r="N61" s="140">
        <v>126900</v>
      </c>
      <c r="O61" s="140"/>
      <c r="P61" s="140"/>
      <c r="Q61" s="140"/>
      <c r="R61" s="140"/>
      <c r="S61" s="130"/>
      <c r="T61" s="130"/>
      <c r="U61" s="130"/>
      <c r="V61" s="130"/>
    </row>
    <row r="62" spans="1:22" s="93" customFormat="1" ht="22.5" customHeight="1">
      <c r="A62" s="146" t="s">
        <v>4</v>
      </c>
      <c r="B62" s="132" t="s">
        <v>231</v>
      </c>
      <c r="C62" s="139">
        <f>SUM(D62:F62)</f>
        <v>0</v>
      </c>
      <c r="D62" s="139"/>
      <c r="E62" s="139"/>
      <c r="F62" s="139"/>
      <c r="G62" s="148">
        <f t="shared" si="16"/>
        <v>143076.5</v>
      </c>
      <c r="H62" s="140">
        <f>SUM(I62:K62)</f>
        <v>0</v>
      </c>
      <c r="I62" s="140"/>
      <c r="J62" s="140">
        <f>C62*17000</f>
        <v>0</v>
      </c>
      <c r="K62" s="140"/>
      <c r="L62" s="140">
        <f t="shared" si="12"/>
        <v>143076.5</v>
      </c>
      <c r="M62" s="140"/>
      <c r="N62" s="148">
        <f>194500-51423.5</f>
        <v>143076.5</v>
      </c>
      <c r="O62" s="140"/>
      <c r="P62" s="140"/>
      <c r="Q62" s="140"/>
      <c r="R62" s="140"/>
      <c r="S62" s="130"/>
      <c r="T62" s="130"/>
      <c r="U62" s="130"/>
      <c r="V62" s="130"/>
    </row>
    <row r="63" spans="1:22" s="93" customFormat="1" ht="22.5" customHeight="1">
      <c r="A63" s="146" t="s">
        <v>4</v>
      </c>
      <c r="B63" s="132" t="s">
        <v>232</v>
      </c>
      <c r="C63" s="139">
        <f>SUM(D63:F63)</f>
        <v>0</v>
      </c>
      <c r="D63" s="139"/>
      <c r="E63" s="139"/>
      <c r="F63" s="139"/>
      <c r="G63" s="140">
        <f t="shared" si="16"/>
        <v>102700</v>
      </c>
      <c r="H63" s="140">
        <f>SUM(I63:K63)</f>
        <v>0</v>
      </c>
      <c r="I63" s="140"/>
      <c r="J63" s="140">
        <f>C63*17000</f>
        <v>0</v>
      </c>
      <c r="K63" s="140"/>
      <c r="L63" s="140">
        <f t="shared" si="12"/>
        <v>102700</v>
      </c>
      <c r="M63" s="140"/>
      <c r="N63" s="140">
        <v>102700</v>
      </c>
      <c r="O63" s="140"/>
      <c r="P63" s="140"/>
      <c r="Q63" s="140"/>
      <c r="R63" s="140"/>
      <c r="S63" s="130"/>
      <c r="T63" s="130"/>
      <c r="U63" s="130"/>
      <c r="V63" s="130"/>
    </row>
    <row r="64" spans="1:22" s="93" customFormat="1" ht="22.5" customHeight="1">
      <c r="A64" s="146" t="s">
        <v>4</v>
      </c>
      <c r="B64" s="132" t="s">
        <v>233</v>
      </c>
      <c r="C64" s="139"/>
      <c r="D64" s="139"/>
      <c r="E64" s="139"/>
      <c r="F64" s="139"/>
      <c r="G64" s="140">
        <f t="shared" si="16"/>
        <v>157100</v>
      </c>
      <c r="H64" s="140"/>
      <c r="I64" s="140"/>
      <c r="J64" s="140"/>
      <c r="K64" s="140"/>
      <c r="L64" s="140">
        <f t="shared" si="12"/>
        <v>157100</v>
      </c>
      <c r="M64" s="140"/>
      <c r="N64" s="140">
        <v>157100</v>
      </c>
      <c r="O64" s="140"/>
      <c r="P64" s="140"/>
      <c r="Q64" s="140"/>
      <c r="R64" s="140"/>
      <c r="S64" s="130"/>
      <c r="T64" s="130"/>
      <c r="U64" s="130"/>
      <c r="V64" s="130"/>
    </row>
    <row r="65" spans="1:22" s="93" customFormat="1" ht="22.5" customHeight="1">
      <c r="A65" s="146" t="s">
        <v>4</v>
      </c>
      <c r="B65" s="132" t="s">
        <v>234</v>
      </c>
      <c r="C65" s="139"/>
      <c r="D65" s="139"/>
      <c r="E65" s="139"/>
      <c r="F65" s="139"/>
      <c r="G65" s="140">
        <f t="shared" si="16"/>
        <v>187200</v>
      </c>
      <c r="H65" s="140"/>
      <c r="I65" s="140"/>
      <c r="J65" s="140"/>
      <c r="K65" s="140"/>
      <c r="L65" s="140">
        <f t="shared" si="12"/>
        <v>187200</v>
      </c>
      <c r="M65" s="140"/>
      <c r="N65" s="140">
        <v>187200</v>
      </c>
      <c r="O65" s="140"/>
      <c r="P65" s="140"/>
      <c r="Q65" s="140"/>
      <c r="R65" s="140"/>
      <c r="S65" s="130"/>
      <c r="T65" s="130"/>
      <c r="U65" s="130"/>
      <c r="V65" s="130"/>
    </row>
    <row r="66" spans="1:22" s="93" customFormat="1" ht="22.5" customHeight="1">
      <c r="A66" s="146" t="s">
        <v>4</v>
      </c>
      <c r="B66" s="132" t="s">
        <v>197</v>
      </c>
      <c r="C66" s="139"/>
      <c r="D66" s="139"/>
      <c r="E66" s="139"/>
      <c r="F66" s="139"/>
      <c r="G66" s="140">
        <f t="shared" si="16"/>
        <v>83200</v>
      </c>
      <c r="H66" s="140"/>
      <c r="I66" s="140"/>
      <c r="J66" s="140"/>
      <c r="K66" s="140"/>
      <c r="L66" s="140">
        <f t="shared" si="12"/>
        <v>83200</v>
      </c>
      <c r="M66" s="140"/>
      <c r="N66" s="140">
        <v>83200</v>
      </c>
      <c r="O66" s="140"/>
      <c r="P66" s="140"/>
      <c r="Q66" s="140"/>
      <c r="R66" s="140"/>
      <c r="S66" s="130"/>
      <c r="T66" s="130"/>
      <c r="U66" s="130"/>
      <c r="V66" s="130"/>
    </row>
    <row r="67" spans="1:22" s="93" customFormat="1" ht="22.5" customHeight="1">
      <c r="A67" s="146" t="s">
        <v>390</v>
      </c>
      <c r="B67" s="147" t="s">
        <v>277</v>
      </c>
      <c r="C67" s="139"/>
      <c r="D67" s="139"/>
      <c r="E67" s="139"/>
      <c r="F67" s="139"/>
      <c r="G67" s="148">
        <f>1200000-SUM(G59:G66)</f>
        <v>287023.5</v>
      </c>
      <c r="H67" s="140"/>
      <c r="I67" s="140"/>
      <c r="J67" s="140"/>
      <c r="K67" s="140"/>
      <c r="L67" s="140">
        <f t="shared" si="12"/>
        <v>0</v>
      </c>
      <c r="M67" s="140"/>
      <c r="N67" s="140"/>
      <c r="O67" s="140"/>
      <c r="P67" s="140"/>
      <c r="Q67" s="140"/>
      <c r="R67" s="140"/>
      <c r="S67" s="130"/>
      <c r="T67" s="130"/>
      <c r="U67" s="130"/>
      <c r="V67" s="130"/>
    </row>
    <row r="68" spans="1:18" s="16" customFormat="1" ht="23.25" customHeight="1">
      <c r="A68" s="97" t="s">
        <v>31</v>
      </c>
      <c r="B68" s="23" t="s">
        <v>535</v>
      </c>
      <c r="C68" s="182" t="s">
        <v>568</v>
      </c>
      <c r="D68" s="182" t="s">
        <v>568</v>
      </c>
      <c r="E68" s="182" t="s">
        <v>4</v>
      </c>
      <c r="F68" s="135">
        <f>F69+F77</f>
        <v>0</v>
      </c>
      <c r="G68" s="180" t="s">
        <v>560</v>
      </c>
      <c r="H68" s="180" t="s">
        <v>561</v>
      </c>
      <c r="I68" s="180" t="s">
        <v>562</v>
      </c>
      <c r="J68" s="138">
        <f>J69+J77+J82+J86+J96</f>
        <v>8200000</v>
      </c>
      <c r="K68" s="138"/>
      <c r="L68" s="138">
        <f>L69+L77+L82+L86+L96</f>
        <v>24175280</v>
      </c>
      <c r="M68" s="180" t="s">
        <v>595</v>
      </c>
      <c r="N68" s="180" t="s">
        <v>596</v>
      </c>
      <c r="O68" s="138">
        <f>O69+O77+O82+O86+O96</f>
        <v>10735000</v>
      </c>
      <c r="P68" s="138">
        <f>P69+P77+P82+P86+P96</f>
        <v>11333000</v>
      </c>
      <c r="Q68" s="138">
        <f>Q69+Q77+Q82+Q86+Q96</f>
        <v>1850000</v>
      </c>
      <c r="R68" s="180" t="s">
        <v>4</v>
      </c>
    </row>
    <row r="69" spans="1:22" s="93" customFormat="1" ht="23.25" customHeight="1">
      <c r="A69" s="139">
        <v>1</v>
      </c>
      <c r="B69" s="147" t="s">
        <v>39</v>
      </c>
      <c r="C69" s="149"/>
      <c r="D69" s="149"/>
      <c r="E69" s="149"/>
      <c r="F69" s="149"/>
      <c r="G69" s="140">
        <f>SUM(G70:G76)</f>
        <v>4038000</v>
      </c>
      <c r="H69" s="140">
        <f aca="true" t="shared" si="17" ref="H69:R69">SUM(H70:H76)</f>
        <v>0</v>
      </c>
      <c r="I69" s="140">
        <f t="shared" si="17"/>
        <v>0</v>
      </c>
      <c r="J69" s="140">
        <f t="shared" si="17"/>
        <v>0</v>
      </c>
      <c r="K69" s="140">
        <f t="shared" si="17"/>
        <v>0</v>
      </c>
      <c r="L69" s="140">
        <f t="shared" si="17"/>
        <v>4038000</v>
      </c>
      <c r="M69" s="140">
        <f t="shared" si="17"/>
        <v>130000</v>
      </c>
      <c r="N69" s="140">
        <f t="shared" si="17"/>
        <v>50000</v>
      </c>
      <c r="O69" s="140">
        <f t="shared" si="17"/>
        <v>50000</v>
      </c>
      <c r="P69" s="140">
        <f t="shared" si="17"/>
        <v>3808000</v>
      </c>
      <c r="Q69" s="140">
        <f t="shared" si="17"/>
        <v>0</v>
      </c>
      <c r="R69" s="140">
        <f t="shared" si="17"/>
        <v>0</v>
      </c>
      <c r="S69" s="130"/>
      <c r="T69" s="130"/>
      <c r="U69" s="130"/>
      <c r="V69" s="130"/>
    </row>
    <row r="70" spans="1:22" s="93" customFormat="1" ht="23.25" customHeight="1">
      <c r="A70" s="139" t="s">
        <v>283</v>
      </c>
      <c r="B70" s="147" t="s">
        <v>386</v>
      </c>
      <c r="C70" s="149"/>
      <c r="D70" s="149"/>
      <c r="E70" s="149"/>
      <c r="F70" s="149"/>
      <c r="G70" s="140">
        <f aca="true" t="shared" si="18" ref="G70:G76">H70+L70+R70</f>
        <v>680000</v>
      </c>
      <c r="H70" s="140"/>
      <c r="I70" s="140"/>
      <c r="J70" s="140"/>
      <c r="K70" s="140"/>
      <c r="L70" s="140">
        <f aca="true" t="shared" si="19" ref="L70:L76">SUM(M70:Q70)</f>
        <v>680000</v>
      </c>
      <c r="M70" s="140">
        <v>130000</v>
      </c>
      <c r="N70" s="140">
        <v>50000</v>
      </c>
      <c r="O70" s="140">
        <v>50000</v>
      </c>
      <c r="P70" s="140">
        <v>450000</v>
      </c>
      <c r="Q70" s="140"/>
      <c r="R70" s="140"/>
      <c r="S70" s="130"/>
      <c r="T70" s="130"/>
      <c r="U70" s="130"/>
      <c r="V70" s="130"/>
    </row>
    <row r="71" spans="1:22" s="93" customFormat="1" ht="23.25" customHeight="1">
      <c r="A71" s="139" t="s">
        <v>284</v>
      </c>
      <c r="B71" s="147" t="s">
        <v>458</v>
      </c>
      <c r="C71" s="149"/>
      <c r="D71" s="139"/>
      <c r="E71" s="139"/>
      <c r="F71" s="139"/>
      <c r="G71" s="140">
        <f t="shared" si="18"/>
        <v>1650000</v>
      </c>
      <c r="H71" s="140">
        <f>SUM(I71:K71)</f>
        <v>0</v>
      </c>
      <c r="I71" s="140"/>
      <c r="J71" s="140"/>
      <c r="K71" s="140"/>
      <c r="L71" s="140">
        <f t="shared" si="19"/>
        <v>1650000</v>
      </c>
      <c r="M71" s="140"/>
      <c r="N71" s="140"/>
      <c r="O71" s="140"/>
      <c r="P71" s="140">
        <v>1650000</v>
      </c>
      <c r="Q71" s="140"/>
      <c r="R71" s="140"/>
      <c r="S71" s="130"/>
      <c r="T71" s="130"/>
      <c r="U71" s="130"/>
      <c r="V71" s="130"/>
    </row>
    <row r="72" spans="1:22" s="93" customFormat="1" ht="31.5" customHeight="1">
      <c r="A72" s="139" t="s">
        <v>285</v>
      </c>
      <c r="B72" s="134" t="s">
        <v>515</v>
      </c>
      <c r="C72" s="149"/>
      <c r="D72" s="139"/>
      <c r="E72" s="139"/>
      <c r="F72" s="139"/>
      <c r="G72" s="140">
        <f t="shared" si="18"/>
        <v>183000</v>
      </c>
      <c r="H72" s="140">
        <f>SUM(I72:K72)</f>
        <v>0</v>
      </c>
      <c r="I72" s="140"/>
      <c r="J72" s="140"/>
      <c r="K72" s="140"/>
      <c r="L72" s="140">
        <f t="shared" si="19"/>
        <v>183000</v>
      </c>
      <c r="M72" s="140"/>
      <c r="N72" s="140"/>
      <c r="O72" s="140"/>
      <c r="P72" s="140">
        <v>183000</v>
      </c>
      <c r="Q72" s="140"/>
      <c r="R72" s="140"/>
      <c r="S72" s="130"/>
      <c r="T72" s="130"/>
      <c r="U72" s="130"/>
      <c r="V72" s="130"/>
    </row>
    <row r="73" spans="1:22" s="93" customFormat="1" ht="33.75" customHeight="1">
      <c r="A73" s="139" t="s">
        <v>286</v>
      </c>
      <c r="B73" s="134" t="s">
        <v>282</v>
      </c>
      <c r="C73" s="149"/>
      <c r="D73" s="139"/>
      <c r="E73" s="139"/>
      <c r="F73" s="139"/>
      <c r="G73" s="140">
        <f t="shared" si="18"/>
        <v>800000</v>
      </c>
      <c r="H73" s="140">
        <f>SUM(I73:K73)</f>
        <v>0</v>
      </c>
      <c r="I73" s="140"/>
      <c r="J73" s="140"/>
      <c r="K73" s="140"/>
      <c r="L73" s="140">
        <f t="shared" si="19"/>
        <v>800000</v>
      </c>
      <c r="M73" s="140"/>
      <c r="N73" s="140"/>
      <c r="O73" s="140"/>
      <c r="P73" s="140">
        <v>800000</v>
      </c>
      <c r="Q73" s="140"/>
      <c r="R73" s="140"/>
      <c r="S73" s="130"/>
      <c r="T73" s="130"/>
      <c r="U73" s="130"/>
      <c r="V73" s="130"/>
    </row>
    <row r="74" spans="1:22" s="93" customFormat="1" ht="20.25" customHeight="1">
      <c r="A74" s="139" t="s">
        <v>331</v>
      </c>
      <c r="B74" s="134" t="s">
        <v>457</v>
      </c>
      <c r="C74" s="149"/>
      <c r="D74" s="139"/>
      <c r="E74" s="139"/>
      <c r="F74" s="139"/>
      <c r="G74" s="140">
        <f t="shared" si="18"/>
        <v>115000</v>
      </c>
      <c r="H74" s="140"/>
      <c r="I74" s="140"/>
      <c r="J74" s="140"/>
      <c r="K74" s="140"/>
      <c r="L74" s="140">
        <f t="shared" si="19"/>
        <v>115000</v>
      </c>
      <c r="M74" s="140"/>
      <c r="N74" s="140"/>
      <c r="O74" s="140"/>
      <c r="P74" s="140">
        <v>115000</v>
      </c>
      <c r="Q74" s="140"/>
      <c r="R74" s="140"/>
      <c r="S74" s="130"/>
      <c r="T74" s="130"/>
      <c r="U74" s="130"/>
      <c r="V74" s="130"/>
    </row>
    <row r="75" spans="1:22" s="93" customFormat="1" ht="32.25" customHeight="1">
      <c r="A75" s="139" t="s">
        <v>332</v>
      </c>
      <c r="B75" s="134" t="s">
        <v>459</v>
      </c>
      <c r="C75" s="149"/>
      <c r="D75" s="139"/>
      <c r="E75" s="139"/>
      <c r="F75" s="139"/>
      <c r="G75" s="140">
        <f>H75+L75+R75</f>
        <v>510000</v>
      </c>
      <c r="H75" s="140"/>
      <c r="I75" s="140"/>
      <c r="J75" s="140"/>
      <c r="K75" s="140"/>
      <c r="L75" s="140">
        <f>SUM(M75:Q75)</f>
        <v>510000</v>
      </c>
      <c r="M75" s="140"/>
      <c r="N75" s="140"/>
      <c r="O75" s="140"/>
      <c r="P75" s="140">
        <v>510000</v>
      </c>
      <c r="Q75" s="140"/>
      <c r="R75" s="140"/>
      <c r="S75" s="130"/>
      <c r="T75" s="130"/>
      <c r="U75" s="130"/>
      <c r="V75" s="130"/>
    </row>
    <row r="76" spans="1:22" s="93" customFormat="1" ht="32.25" customHeight="1">
      <c r="A76" s="139" t="s">
        <v>397</v>
      </c>
      <c r="B76" s="134" t="s">
        <v>398</v>
      </c>
      <c r="C76" s="149"/>
      <c r="D76" s="139"/>
      <c r="E76" s="139"/>
      <c r="F76" s="139"/>
      <c r="G76" s="140">
        <f t="shared" si="18"/>
        <v>100000</v>
      </c>
      <c r="H76" s="140"/>
      <c r="I76" s="140"/>
      <c r="J76" s="140"/>
      <c r="K76" s="140"/>
      <c r="L76" s="140">
        <f t="shared" si="19"/>
        <v>100000</v>
      </c>
      <c r="M76" s="140"/>
      <c r="N76" s="140"/>
      <c r="O76" s="140"/>
      <c r="P76" s="140">
        <v>100000</v>
      </c>
      <c r="Q76" s="140"/>
      <c r="R76" s="140"/>
      <c r="S76" s="130"/>
      <c r="T76" s="130"/>
      <c r="U76" s="130"/>
      <c r="V76" s="130"/>
    </row>
    <row r="77" spans="1:20" ht="22.5" customHeight="1">
      <c r="A77" s="139">
        <v>2</v>
      </c>
      <c r="B77" s="147" t="s">
        <v>460</v>
      </c>
      <c r="C77" s="192" t="s">
        <v>568</v>
      </c>
      <c r="D77" s="192" t="s">
        <v>568</v>
      </c>
      <c r="E77" s="192" t="s">
        <v>4</v>
      </c>
      <c r="F77" s="149">
        <f>F78+F79+F80</f>
        <v>0</v>
      </c>
      <c r="G77" s="191" t="s">
        <v>563</v>
      </c>
      <c r="H77" s="191" t="s">
        <v>561</v>
      </c>
      <c r="I77" s="191" t="s">
        <v>562</v>
      </c>
      <c r="J77" s="191" t="s">
        <v>569</v>
      </c>
      <c r="K77" s="191" t="s">
        <v>4</v>
      </c>
      <c r="L77" s="140">
        <v>12560000</v>
      </c>
      <c r="M77" s="191" t="s">
        <v>4</v>
      </c>
      <c r="N77" s="191" t="s">
        <v>4</v>
      </c>
      <c r="O77" s="140">
        <v>10485000</v>
      </c>
      <c r="P77" s="191" t="s">
        <v>570</v>
      </c>
      <c r="Q77" s="191" t="s">
        <v>571</v>
      </c>
      <c r="R77" s="191" t="s">
        <v>4</v>
      </c>
      <c r="S77" s="4"/>
      <c r="T77" s="4"/>
    </row>
    <row r="78" spans="1:22" s="93" customFormat="1" ht="23.25" customHeight="1">
      <c r="A78" s="139" t="s">
        <v>75</v>
      </c>
      <c r="B78" s="147" t="s">
        <v>3</v>
      </c>
      <c r="C78" s="146" t="s">
        <v>572</v>
      </c>
      <c r="D78" s="146" t="s">
        <v>572</v>
      </c>
      <c r="E78" s="146" t="s">
        <v>67</v>
      </c>
      <c r="F78" s="139"/>
      <c r="G78" s="191" t="s">
        <v>573</v>
      </c>
      <c r="H78" s="191" t="s">
        <v>574</v>
      </c>
      <c r="I78" s="191" t="s">
        <v>575</v>
      </c>
      <c r="J78" s="140">
        <v>2390000</v>
      </c>
      <c r="K78" s="191" t="s">
        <v>4</v>
      </c>
      <c r="L78" s="140">
        <v>3915000</v>
      </c>
      <c r="M78" s="191" t="s">
        <v>4</v>
      </c>
      <c r="N78" s="191" t="s">
        <v>4</v>
      </c>
      <c r="O78" s="140">
        <v>3265000</v>
      </c>
      <c r="P78" s="140"/>
      <c r="Q78" s="191" t="s">
        <v>576</v>
      </c>
      <c r="R78" s="191" t="s">
        <v>4</v>
      </c>
      <c r="S78" s="130"/>
      <c r="T78" s="130"/>
      <c r="U78" s="130"/>
      <c r="V78" s="130"/>
    </row>
    <row r="79" spans="1:22" s="93" customFormat="1" ht="24" customHeight="1">
      <c r="A79" s="139" t="s">
        <v>80</v>
      </c>
      <c r="B79" s="147" t="s">
        <v>6</v>
      </c>
      <c r="C79" s="146" t="s">
        <v>577</v>
      </c>
      <c r="D79" s="146" t="s">
        <v>577</v>
      </c>
      <c r="E79" s="146" t="s">
        <v>67</v>
      </c>
      <c r="F79" s="139"/>
      <c r="G79" s="191" t="s">
        <v>578</v>
      </c>
      <c r="H79" s="191" t="s">
        <v>579</v>
      </c>
      <c r="I79" s="191" t="s">
        <v>580</v>
      </c>
      <c r="J79" s="191" t="s">
        <v>581</v>
      </c>
      <c r="K79" s="191" t="s">
        <v>4</v>
      </c>
      <c r="L79" s="191" t="s">
        <v>582</v>
      </c>
      <c r="M79" s="191" t="s">
        <v>4</v>
      </c>
      <c r="N79" s="191" t="s">
        <v>4</v>
      </c>
      <c r="O79" s="191" t="s">
        <v>583</v>
      </c>
      <c r="P79" s="140"/>
      <c r="Q79" s="191" t="s">
        <v>584</v>
      </c>
      <c r="R79" s="191" t="s">
        <v>4</v>
      </c>
      <c r="S79" s="130"/>
      <c r="T79" s="130"/>
      <c r="U79" s="130"/>
      <c r="V79" s="130"/>
    </row>
    <row r="80" spans="1:22" s="93" customFormat="1" ht="21.75" customHeight="1">
      <c r="A80" s="139" t="s">
        <v>82</v>
      </c>
      <c r="B80" s="147" t="s">
        <v>42</v>
      </c>
      <c r="C80" s="146" t="s">
        <v>588</v>
      </c>
      <c r="D80" s="146" t="s">
        <v>588</v>
      </c>
      <c r="E80" s="146" t="s">
        <v>67</v>
      </c>
      <c r="F80" s="139"/>
      <c r="G80" s="191" t="s">
        <v>585</v>
      </c>
      <c r="H80" s="191" t="s">
        <v>586</v>
      </c>
      <c r="I80" s="191" t="s">
        <v>587</v>
      </c>
      <c r="J80" s="191" t="s">
        <v>589</v>
      </c>
      <c r="K80" s="191" t="s">
        <v>4</v>
      </c>
      <c r="L80" s="191" t="s">
        <v>590</v>
      </c>
      <c r="M80" s="191" t="s">
        <v>4</v>
      </c>
      <c r="N80" s="191" t="s">
        <v>4</v>
      </c>
      <c r="O80" s="191" t="s">
        <v>591</v>
      </c>
      <c r="P80" s="140"/>
      <c r="Q80" s="191" t="s">
        <v>584</v>
      </c>
      <c r="R80" s="191" t="s">
        <v>4</v>
      </c>
      <c r="S80" s="130"/>
      <c r="T80" s="130"/>
      <c r="U80" s="130"/>
      <c r="V80" s="130"/>
    </row>
    <row r="81" spans="1:22" s="93" customFormat="1" ht="33" customHeight="1">
      <c r="A81" s="139" t="s">
        <v>83</v>
      </c>
      <c r="B81" s="134" t="s">
        <v>516</v>
      </c>
      <c r="C81" s="139">
        <f>SUM(D81:F81)</f>
        <v>24</v>
      </c>
      <c r="D81" s="139">
        <v>24</v>
      </c>
      <c r="E81" s="139"/>
      <c r="F81" s="139"/>
      <c r="G81" s="140">
        <f>H81+L81+R81</f>
        <v>3075000</v>
      </c>
      <c r="H81" s="140">
        <f>SUM(I81:K81)</f>
        <v>2850000</v>
      </c>
      <c r="I81" s="140">
        <v>2630000</v>
      </c>
      <c r="J81" s="140">
        <v>220000</v>
      </c>
      <c r="K81" s="140"/>
      <c r="L81" s="140">
        <f>SUM(M81:Q81)</f>
        <v>225000</v>
      </c>
      <c r="M81" s="140">
        <f>SUM(M82:M82)</f>
        <v>0</v>
      </c>
      <c r="N81" s="140">
        <f>SUM(N82:N82)</f>
        <v>0</v>
      </c>
      <c r="O81" s="140">
        <v>200000</v>
      </c>
      <c r="P81" s="140">
        <v>25000</v>
      </c>
      <c r="Q81" s="140"/>
      <c r="R81" s="140"/>
      <c r="S81" s="130"/>
      <c r="T81" s="130"/>
      <c r="U81" s="130"/>
      <c r="V81" s="130"/>
    </row>
    <row r="82" spans="1:22" s="93" customFormat="1" ht="21" customHeight="1">
      <c r="A82" s="139">
        <v>3</v>
      </c>
      <c r="B82" s="134" t="s">
        <v>461</v>
      </c>
      <c r="C82" s="149"/>
      <c r="D82" s="139"/>
      <c r="E82" s="139"/>
      <c r="F82" s="139"/>
      <c r="G82" s="140">
        <f>SUM(G83:G85)</f>
        <v>7300000</v>
      </c>
      <c r="H82" s="140">
        <f aca="true" t="shared" si="20" ref="H82:Q82">SUM(H83:H85)</f>
        <v>0</v>
      </c>
      <c r="I82" s="140">
        <f t="shared" si="20"/>
        <v>0</v>
      </c>
      <c r="J82" s="140">
        <f t="shared" si="20"/>
        <v>0</v>
      </c>
      <c r="K82" s="140" t="s">
        <v>126</v>
      </c>
      <c r="L82" s="140">
        <f t="shared" si="20"/>
        <v>7300000</v>
      </c>
      <c r="M82" s="140">
        <f t="shared" si="20"/>
        <v>0</v>
      </c>
      <c r="N82" s="140">
        <f t="shared" si="20"/>
        <v>0</v>
      </c>
      <c r="O82" s="140">
        <f t="shared" si="20"/>
        <v>0</v>
      </c>
      <c r="P82" s="140">
        <f t="shared" si="20"/>
        <v>7300000</v>
      </c>
      <c r="Q82" s="140">
        <f t="shared" si="20"/>
        <v>0</v>
      </c>
      <c r="R82" s="140"/>
      <c r="S82" s="130"/>
      <c r="T82" s="130"/>
      <c r="U82" s="130"/>
      <c r="V82" s="130"/>
    </row>
    <row r="83" spans="1:22" s="93" customFormat="1" ht="23.25" customHeight="1">
      <c r="A83" s="146" t="s">
        <v>4</v>
      </c>
      <c r="B83" s="147" t="s">
        <v>41</v>
      </c>
      <c r="C83" s="139">
        <f>SUM(D83:F83)</f>
        <v>0</v>
      </c>
      <c r="D83" s="139"/>
      <c r="E83" s="139"/>
      <c r="F83" s="139"/>
      <c r="G83" s="140">
        <f>H83+L83+R83</f>
        <v>3800000</v>
      </c>
      <c r="H83" s="140">
        <f>SUM(I83:K83)</f>
        <v>0</v>
      </c>
      <c r="I83" s="140"/>
      <c r="J83" s="140"/>
      <c r="K83" s="140"/>
      <c r="L83" s="140">
        <f>SUM(M83:Q83)</f>
        <v>3800000</v>
      </c>
      <c r="M83" s="140"/>
      <c r="N83" s="140"/>
      <c r="O83" s="140"/>
      <c r="P83" s="140">
        <v>3800000</v>
      </c>
      <c r="Q83" s="140"/>
      <c r="R83" s="140"/>
      <c r="S83" s="130"/>
      <c r="T83" s="130"/>
      <c r="U83" s="130"/>
      <c r="V83" s="130"/>
    </row>
    <row r="84" spans="1:22" s="93" customFormat="1" ht="21" customHeight="1">
      <c r="A84" s="146" t="s">
        <v>4</v>
      </c>
      <c r="B84" s="147" t="s">
        <v>7</v>
      </c>
      <c r="C84" s="139">
        <f>SUM(D84:F84)</f>
        <v>0</v>
      </c>
      <c r="D84" s="139"/>
      <c r="E84" s="139"/>
      <c r="F84" s="139"/>
      <c r="G84" s="140">
        <f>H84+L84+R84</f>
        <v>3500000</v>
      </c>
      <c r="H84" s="140">
        <f>SUM(I84:K84)</f>
        <v>0</v>
      </c>
      <c r="I84" s="140"/>
      <c r="J84" s="140"/>
      <c r="K84" s="140"/>
      <c r="L84" s="140">
        <f>SUM(M84:Q84)</f>
        <v>3500000</v>
      </c>
      <c r="M84" s="140"/>
      <c r="N84" s="140"/>
      <c r="O84" s="140"/>
      <c r="P84" s="140">
        <v>3500000</v>
      </c>
      <c r="Q84" s="140"/>
      <c r="R84" s="140"/>
      <c r="S84" s="130"/>
      <c r="T84" s="130"/>
      <c r="U84" s="130"/>
      <c r="V84" s="130"/>
    </row>
    <row r="85" spans="1:20" ht="21.75" customHeight="1">
      <c r="A85" s="146" t="s">
        <v>4</v>
      </c>
      <c r="B85" s="147" t="s">
        <v>277</v>
      </c>
      <c r="C85" s="139"/>
      <c r="D85" s="139"/>
      <c r="E85" s="139"/>
      <c r="F85" s="139"/>
      <c r="G85" s="140">
        <f>7300000-G83-G84</f>
        <v>0</v>
      </c>
      <c r="H85" s="140"/>
      <c r="I85" s="140"/>
      <c r="J85" s="140"/>
      <c r="K85" s="140"/>
      <c r="L85" s="140"/>
      <c r="M85" s="140"/>
      <c r="N85" s="140"/>
      <c r="O85" s="140"/>
      <c r="P85" s="140"/>
      <c r="Q85" s="140"/>
      <c r="R85" s="140"/>
      <c r="S85" s="4"/>
      <c r="T85" s="4"/>
    </row>
    <row r="86" spans="1:22" s="93" customFormat="1" ht="23.25" customHeight="1">
      <c r="A86" s="139">
        <v>4</v>
      </c>
      <c r="B86" s="134" t="s">
        <v>517</v>
      </c>
      <c r="C86" s="149"/>
      <c r="D86" s="139"/>
      <c r="E86" s="139"/>
      <c r="F86" s="139"/>
      <c r="G86" s="140">
        <f aca="true" t="shared" si="21" ref="G86:P86">SUM(G87:G94)</f>
        <v>277280</v>
      </c>
      <c r="H86" s="140">
        <f t="shared" si="21"/>
        <v>0</v>
      </c>
      <c r="I86" s="140">
        <f t="shared" si="21"/>
        <v>0</v>
      </c>
      <c r="J86" s="140">
        <f t="shared" si="21"/>
        <v>0</v>
      </c>
      <c r="K86" s="140">
        <f t="shared" si="21"/>
        <v>0</v>
      </c>
      <c r="L86" s="140">
        <f t="shared" si="21"/>
        <v>277280</v>
      </c>
      <c r="M86" s="140">
        <f t="shared" si="21"/>
        <v>77280</v>
      </c>
      <c r="N86" s="140">
        <f t="shared" si="21"/>
        <v>0</v>
      </c>
      <c r="O86" s="140">
        <f t="shared" si="21"/>
        <v>200000</v>
      </c>
      <c r="P86" s="140">
        <f t="shared" si="21"/>
        <v>0</v>
      </c>
      <c r="Q86" s="140"/>
      <c r="R86" s="140"/>
      <c r="S86" s="130"/>
      <c r="T86" s="130"/>
      <c r="U86" s="130"/>
      <c r="V86" s="130"/>
    </row>
    <row r="87" spans="1:22" s="93" customFormat="1" ht="21" customHeight="1">
      <c r="A87" s="139" t="s">
        <v>4</v>
      </c>
      <c r="B87" s="132" t="s">
        <v>387</v>
      </c>
      <c r="C87" s="149"/>
      <c r="D87" s="139"/>
      <c r="E87" s="139"/>
      <c r="F87" s="139"/>
      <c r="G87" s="140">
        <f aca="true" t="shared" si="22" ref="G87:G95">H87+L87+R87</f>
        <v>34660</v>
      </c>
      <c r="H87" s="140"/>
      <c r="I87" s="140"/>
      <c r="J87" s="140"/>
      <c r="K87" s="140"/>
      <c r="L87" s="140">
        <f aca="true" t="shared" si="23" ref="L87:L94">SUM(M87:Q87)</f>
        <v>34660</v>
      </c>
      <c r="M87" s="140">
        <v>9660</v>
      </c>
      <c r="N87" s="140"/>
      <c r="O87" s="140">
        <v>25000</v>
      </c>
      <c r="P87" s="140"/>
      <c r="Q87" s="140"/>
      <c r="R87" s="140"/>
      <c r="S87" s="130"/>
      <c r="T87" s="130"/>
      <c r="U87" s="130"/>
      <c r="V87" s="130"/>
    </row>
    <row r="88" spans="1:22" s="93" customFormat="1" ht="21" customHeight="1">
      <c r="A88" s="139" t="s">
        <v>4</v>
      </c>
      <c r="B88" s="132" t="s">
        <v>442</v>
      </c>
      <c r="C88" s="149"/>
      <c r="D88" s="139"/>
      <c r="E88" s="139"/>
      <c r="F88" s="139"/>
      <c r="G88" s="140">
        <f>H88+L88+R88</f>
        <v>34660</v>
      </c>
      <c r="H88" s="140"/>
      <c r="I88" s="140"/>
      <c r="J88" s="140"/>
      <c r="K88" s="140"/>
      <c r="L88" s="140">
        <f t="shared" si="23"/>
        <v>34660</v>
      </c>
      <c r="M88" s="140">
        <v>9660</v>
      </c>
      <c r="N88" s="140"/>
      <c r="O88" s="140">
        <v>25000</v>
      </c>
      <c r="P88" s="140"/>
      <c r="Q88" s="140"/>
      <c r="R88" s="140"/>
      <c r="S88" s="130"/>
      <c r="T88" s="130"/>
      <c r="U88" s="130"/>
      <c r="V88" s="130"/>
    </row>
    <row r="89" spans="1:22" s="93" customFormat="1" ht="21" customHeight="1">
      <c r="A89" s="139" t="s">
        <v>4</v>
      </c>
      <c r="B89" s="132" t="s">
        <v>443</v>
      </c>
      <c r="C89" s="149"/>
      <c r="D89" s="139"/>
      <c r="E89" s="139"/>
      <c r="F89" s="139"/>
      <c r="G89" s="140">
        <f t="shared" si="22"/>
        <v>34660</v>
      </c>
      <c r="H89" s="140"/>
      <c r="I89" s="140"/>
      <c r="J89" s="140"/>
      <c r="K89" s="140"/>
      <c r="L89" s="140">
        <f t="shared" si="23"/>
        <v>34660</v>
      </c>
      <c r="M89" s="140">
        <v>9660</v>
      </c>
      <c r="N89" s="140"/>
      <c r="O89" s="140">
        <v>25000</v>
      </c>
      <c r="P89" s="140"/>
      <c r="Q89" s="140"/>
      <c r="R89" s="140"/>
      <c r="S89" s="130"/>
      <c r="T89" s="130"/>
      <c r="U89" s="130"/>
      <c r="V89" s="130"/>
    </row>
    <row r="90" spans="1:22" s="93" customFormat="1" ht="21" customHeight="1">
      <c r="A90" s="139" t="s">
        <v>4</v>
      </c>
      <c r="B90" s="132" t="s">
        <v>444</v>
      </c>
      <c r="C90" s="149"/>
      <c r="D90" s="139"/>
      <c r="E90" s="139"/>
      <c r="F90" s="139"/>
      <c r="G90" s="140">
        <f t="shared" si="22"/>
        <v>34660</v>
      </c>
      <c r="H90" s="140"/>
      <c r="I90" s="140"/>
      <c r="J90" s="140"/>
      <c r="K90" s="140"/>
      <c r="L90" s="140">
        <f t="shared" si="23"/>
        <v>34660</v>
      </c>
      <c r="M90" s="140">
        <v>9660</v>
      </c>
      <c r="N90" s="140"/>
      <c r="O90" s="140">
        <v>25000</v>
      </c>
      <c r="P90" s="140"/>
      <c r="Q90" s="140"/>
      <c r="R90" s="140"/>
      <c r="S90" s="130"/>
      <c r="T90" s="130"/>
      <c r="U90" s="130"/>
      <c r="V90" s="130"/>
    </row>
    <row r="91" spans="1:22" s="93" customFormat="1" ht="21" customHeight="1">
      <c r="A91" s="139" t="s">
        <v>4</v>
      </c>
      <c r="B91" s="132" t="s">
        <v>445</v>
      </c>
      <c r="C91" s="149"/>
      <c r="D91" s="139"/>
      <c r="E91" s="139"/>
      <c r="F91" s="139"/>
      <c r="G91" s="140">
        <f t="shared" si="22"/>
        <v>34660</v>
      </c>
      <c r="H91" s="140"/>
      <c r="I91" s="140"/>
      <c r="J91" s="140"/>
      <c r="K91" s="140"/>
      <c r="L91" s="140">
        <f t="shared" si="23"/>
        <v>34660</v>
      </c>
      <c r="M91" s="140">
        <v>9660</v>
      </c>
      <c r="N91" s="140"/>
      <c r="O91" s="140">
        <v>25000</v>
      </c>
      <c r="P91" s="140"/>
      <c r="Q91" s="140"/>
      <c r="R91" s="140"/>
      <c r="S91" s="130"/>
      <c r="T91" s="130"/>
      <c r="U91" s="130"/>
      <c r="V91" s="130"/>
    </row>
    <row r="92" spans="1:22" s="93" customFormat="1" ht="21" customHeight="1">
      <c r="A92" s="139" t="s">
        <v>4</v>
      </c>
      <c r="B92" s="132" t="s">
        <v>446</v>
      </c>
      <c r="C92" s="149"/>
      <c r="D92" s="139"/>
      <c r="E92" s="139"/>
      <c r="F92" s="139"/>
      <c r="G92" s="140">
        <f t="shared" si="22"/>
        <v>34660</v>
      </c>
      <c r="H92" s="140"/>
      <c r="I92" s="140"/>
      <c r="J92" s="140"/>
      <c r="K92" s="140"/>
      <c r="L92" s="140">
        <f t="shared" si="23"/>
        <v>34660</v>
      </c>
      <c r="M92" s="140">
        <v>9660</v>
      </c>
      <c r="N92" s="140"/>
      <c r="O92" s="140">
        <v>25000</v>
      </c>
      <c r="P92" s="140"/>
      <c r="Q92" s="140"/>
      <c r="R92" s="140"/>
      <c r="S92" s="130"/>
      <c r="T92" s="130"/>
      <c r="U92" s="130"/>
      <c r="V92" s="130"/>
    </row>
    <row r="93" spans="1:22" s="93" customFormat="1" ht="21" customHeight="1">
      <c r="A93" s="139" t="s">
        <v>4</v>
      </c>
      <c r="B93" s="132" t="s">
        <v>447</v>
      </c>
      <c r="C93" s="149"/>
      <c r="D93" s="139"/>
      <c r="E93" s="139"/>
      <c r="F93" s="139"/>
      <c r="G93" s="140">
        <f t="shared" si="22"/>
        <v>34660</v>
      </c>
      <c r="H93" s="140"/>
      <c r="I93" s="140"/>
      <c r="J93" s="140"/>
      <c r="K93" s="140"/>
      <c r="L93" s="140">
        <f t="shared" si="23"/>
        <v>34660</v>
      </c>
      <c r="M93" s="140">
        <v>9660</v>
      </c>
      <c r="N93" s="140"/>
      <c r="O93" s="140">
        <v>25000</v>
      </c>
      <c r="P93" s="140"/>
      <c r="Q93" s="140"/>
      <c r="R93" s="140"/>
      <c r="S93" s="130"/>
      <c r="T93" s="130"/>
      <c r="U93" s="130"/>
      <c r="V93" s="130"/>
    </row>
    <row r="94" spans="1:22" s="93" customFormat="1" ht="21" customHeight="1">
      <c r="A94" s="139" t="s">
        <v>4</v>
      </c>
      <c r="B94" s="132" t="s">
        <v>400</v>
      </c>
      <c r="C94" s="149"/>
      <c r="D94" s="139"/>
      <c r="E94" s="139"/>
      <c r="F94" s="139"/>
      <c r="G94" s="140">
        <f t="shared" si="22"/>
        <v>34660</v>
      </c>
      <c r="H94" s="140"/>
      <c r="I94" s="140"/>
      <c r="J94" s="140"/>
      <c r="K94" s="140"/>
      <c r="L94" s="140">
        <f t="shared" si="23"/>
        <v>34660</v>
      </c>
      <c r="M94" s="140">
        <v>9660</v>
      </c>
      <c r="N94" s="140"/>
      <c r="O94" s="140">
        <v>25000</v>
      </c>
      <c r="P94" s="140"/>
      <c r="Q94" s="140"/>
      <c r="R94" s="140"/>
      <c r="S94" s="130"/>
      <c r="T94" s="130"/>
      <c r="U94" s="130"/>
      <c r="V94" s="130"/>
    </row>
    <row r="95" spans="1:22" s="93" customFormat="1" ht="31.5" customHeight="1">
      <c r="A95" s="139">
        <v>5</v>
      </c>
      <c r="B95" s="134" t="s">
        <v>301</v>
      </c>
      <c r="C95" s="139"/>
      <c r="D95" s="139"/>
      <c r="E95" s="139"/>
      <c r="F95" s="139"/>
      <c r="G95" s="140">
        <f t="shared" si="22"/>
        <v>200000</v>
      </c>
      <c r="H95" s="140">
        <f>SUM(I95:K95)</f>
        <v>0</v>
      </c>
      <c r="I95" s="140"/>
      <c r="J95" s="140"/>
      <c r="K95" s="140"/>
      <c r="L95" s="140">
        <f>SUM(M95:Q95)</f>
        <v>200000</v>
      </c>
      <c r="M95" s="140"/>
      <c r="N95" s="140"/>
      <c r="O95" s="140"/>
      <c r="P95" s="140">
        <v>200000</v>
      </c>
      <c r="Q95" s="140"/>
      <c r="R95" s="140"/>
      <c r="S95" s="130"/>
      <c r="T95" s="130"/>
      <c r="U95" s="130"/>
      <c r="V95" s="130"/>
    </row>
    <row r="96" spans="1:20" ht="24" customHeight="1">
      <c r="A96" s="155">
        <v>6</v>
      </c>
      <c r="B96" s="167" t="s">
        <v>278</v>
      </c>
      <c r="C96" s="155"/>
      <c r="D96" s="155"/>
      <c r="E96" s="155"/>
      <c r="F96" s="155"/>
      <c r="G96" s="144">
        <f>145307000+5350000-G86-G82-G77-G69-G95</f>
        <v>2451720</v>
      </c>
      <c r="H96" s="144">
        <f>SUM(I96:K96)</f>
        <v>0</v>
      </c>
      <c r="I96" s="144"/>
      <c r="J96" s="144"/>
      <c r="K96" s="144"/>
      <c r="L96" s="144">
        <f>SUM(M96:Q96)</f>
        <v>0</v>
      </c>
      <c r="M96" s="144"/>
      <c r="N96" s="144"/>
      <c r="O96" s="144"/>
      <c r="P96" s="144"/>
      <c r="Q96" s="144"/>
      <c r="R96" s="144"/>
      <c r="S96" s="4"/>
      <c r="T96" s="4"/>
    </row>
    <row r="97" spans="1:20" ht="25.5" customHeight="1">
      <c r="A97" s="97" t="s">
        <v>44</v>
      </c>
      <c r="B97" s="23" t="s">
        <v>463</v>
      </c>
      <c r="C97" s="150">
        <f>SUM(C98:C100)</f>
        <v>171</v>
      </c>
      <c r="D97" s="150">
        <f>SUM(D98:D100)</f>
        <v>165</v>
      </c>
      <c r="E97" s="150">
        <f>SUM(E98:E100)</f>
        <v>0</v>
      </c>
      <c r="F97" s="97">
        <f>SUM(F98:F100)</f>
        <v>6</v>
      </c>
      <c r="G97" s="180" t="s">
        <v>641</v>
      </c>
      <c r="H97" s="138">
        <f aca="true" t="shared" si="24" ref="H97:R97">SUM(H98:H106)</f>
        <v>13913000</v>
      </c>
      <c r="I97" s="138">
        <f t="shared" si="24"/>
        <v>11874000</v>
      </c>
      <c r="J97" s="138">
        <f t="shared" si="24"/>
        <v>1989000</v>
      </c>
      <c r="K97" s="138">
        <f t="shared" si="24"/>
        <v>50000</v>
      </c>
      <c r="L97" s="180" t="s">
        <v>642</v>
      </c>
      <c r="M97" s="180" t="s">
        <v>643</v>
      </c>
      <c r="N97" s="138">
        <f t="shared" si="24"/>
        <v>941300</v>
      </c>
      <c r="O97" s="138">
        <f>SUM(O98:O106)</f>
        <v>5000000</v>
      </c>
      <c r="P97" s="138">
        <f t="shared" si="24"/>
        <v>252500</v>
      </c>
      <c r="Q97" s="138">
        <f t="shared" si="24"/>
        <v>0</v>
      </c>
      <c r="R97" s="138">
        <f t="shared" si="24"/>
        <v>0</v>
      </c>
      <c r="S97" s="4"/>
      <c r="T97" s="4"/>
    </row>
    <row r="98" spans="1:22" s="93" customFormat="1" ht="22.5" customHeight="1">
      <c r="A98" s="139">
        <v>1</v>
      </c>
      <c r="B98" s="147" t="s">
        <v>45</v>
      </c>
      <c r="C98" s="139">
        <f>SUM(D98:F98)</f>
        <v>88</v>
      </c>
      <c r="D98" s="139">
        <v>84</v>
      </c>
      <c r="E98" s="139"/>
      <c r="F98" s="139">
        <v>4</v>
      </c>
      <c r="G98" s="140">
        <f aca="true" t="shared" si="25" ref="G98:G105">H98+L98+R98</f>
        <v>12555000</v>
      </c>
      <c r="H98" s="140">
        <f>SUM(I98:K98)</f>
        <v>10100000</v>
      </c>
      <c r="I98" s="140">
        <v>8574000</v>
      </c>
      <c r="J98" s="140">
        <f>+C98*17000</f>
        <v>1496000</v>
      </c>
      <c r="K98" s="140">
        <v>30000</v>
      </c>
      <c r="L98" s="140">
        <f aca="true" t="shared" si="26" ref="L98:L106">SUM(M98:Q98)</f>
        <v>2455000</v>
      </c>
      <c r="M98" s="140"/>
      <c r="N98" s="140">
        <f>20000+400000</f>
        <v>420000</v>
      </c>
      <c r="O98" s="140">
        <v>2000000</v>
      </c>
      <c r="P98" s="140">
        <v>35000</v>
      </c>
      <c r="Q98" s="140"/>
      <c r="R98" s="140"/>
      <c r="S98" s="130"/>
      <c r="T98" s="130"/>
      <c r="U98" s="130"/>
      <c r="V98" s="130"/>
    </row>
    <row r="99" spans="1:22" s="93" customFormat="1" ht="21" customHeight="1">
      <c r="A99" s="139">
        <v>2</v>
      </c>
      <c r="B99" s="147" t="s">
        <v>464</v>
      </c>
      <c r="C99" s="139">
        <f>SUM(D99:F99)</f>
        <v>29</v>
      </c>
      <c r="D99" s="139">
        <v>27</v>
      </c>
      <c r="E99" s="139"/>
      <c r="F99" s="139">
        <v>2</v>
      </c>
      <c r="G99" s="140">
        <f>H99+L99+R99</f>
        <v>4530500</v>
      </c>
      <c r="H99" s="140">
        <f>SUM(I99:K99)</f>
        <v>3813000</v>
      </c>
      <c r="I99" s="140">
        <v>3300000</v>
      </c>
      <c r="J99" s="140">
        <f>+C99*17000</f>
        <v>493000</v>
      </c>
      <c r="K99" s="140">
        <v>20000</v>
      </c>
      <c r="L99" s="140">
        <f t="shared" si="26"/>
        <v>717500</v>
      </c>
      <c r="M99" s="140"/>
      <c r="N99" s="140"/>
      <c r="O99" s="140">
        <v>700000</v>
      </c>
      <c r="P99" s="140">
        <v>17500</v>
      </c>
      <c r="Q99" s="140"/>
      <c r="R99" s="140"/>
      <c r="S99" s="130"/>
      <c r="T99" s="130"/>
      <c r="U99" s="130"/>
      <c r="V99" s="130"/>
    </row>
    <row r="100" spans="1:22" s="93" customFormat="1" ht="21" customHeight="1">
      <c r="A100" s="139">
        <v>3</v>
      </c>
      <c r="B100" s="147" t="s">
        <v>465</v>
      </c>
      <c r="C100" s="139">
        <f>SUM(D100:F100)</f>
        <v>54</v>
      </c>
      <c r="D100" s="139">
        <v>54</v>
      </c>
      <c r="E100" s="139"/>
      <c r="F100" s="139"/>
      <c r="G100" s="140">
        <f t="shared" si="25"/>
        <v>6728300</v>
      </c>
      <c r="H100" s="140">
        <f aca="true" t="shared" si="27" ref="H100:H106">SUM(I100:K100)</f>
        <v>0</v>
      </c>
      <c r="I100" s="140"/>
      <c r="J100" s="140"/>
      <c r="K100" s="140"/>
      <c r="L100" s="140">
        <f t="shared" si="26"/>
        <v>6728300</v>
      </c>
      <c r="M100" s="140">
        <v>6040000</v>
      </c>
      <c r="N100" s="140">
        <f>164300+160000+64000</f>
        <v>388300</v>
      </c>
      <c r="O100" s="140">
        <v>300000</v>
      </c>
      <c r="P100" s="140"/>
      <c r="Q100" s="140"/>
      <c r="R100" s="140"/>
      <c r="S100" s="130"/>
      <c r="T100" s="130"/>
      <c r="U100" s="130"/>
      <c r="V100" s="130"/>
    </row>
    <row r="101" spans="1:20" ht="21" customHeight="1">
      <c r="A101" s="139">
        <v>4</v>
      </c>
      <c r="B101" s="147" t="s">
        <v>255</v>
      </c>
      <c r="C101" s="139">
        <f>SUM(D101:F101)</f>
        <v>126</v>
      </c>
      <c r="D101" s="139">
        <v>126</v>
      </c>
      <c r="E101" s="139"/>
      <c r="F101" s="139"/>
      <c r="G101" s="191" t="s">
        <v>645</v>
      </c>
      <c r="H101" s="140">
        <f t="shared" si="27"/>
        <v>0</v>
      </c>
      <c r="I101" s="140"/>
      <c r="J101" s="140"/>
      <c r="K101" s="140"/>
      <c r="L101" s="191" t="s">
        <v>645</v>
      </c>
      <c r="M101" s="191" t="s">
        <v>645</v>
      </c>
      <c r="N101" s="140"/>
      <c r="O101" s="140"/>
      <c r="P101" s="140"/>
      <c r="Q101" s="140"/>
      <c r="R101" s="140"/>
      <c r="S101" s="4"/>
      <c r="T101" s="4"/>
    </row>
    <row r="102" spans="1:22" s="93" customFormat="1" ht="32.25" customHeight="1">
      <c r="A102" s="139">
        <v>5</v>
      </c>
      <c r="B102" s="134" t="s">
        <v>518</v>
      </c>
      <c r="C102" s="139"/>
      <c r="D102" s="139"/>
      <c r="E102" s="139"/>
      <c r="F102" s="139"/>
      <c r="G102" s="191" t="s">
        <v>644</v>
      </c>
      <c r="H102" s="140">
        <f t="shared" si="27"/>
        <v>0</v>
      </c>
      <c r="I102" s="140"/>
      <c r="J102" s="140"/>
      <c r="K102" s="140"/>
      <c r="L102" s="140">
        <f t="shared" si="26"/>
        <v>133000</v>
      </c>
      <c r="M102" s="140"/>
      <c r="N102" s="140">
        <v>133000</v>
      </c>
      <c r="O102" s="140"/>
      <c r="P102" s="140"/>
      <c r="Q102" s="140"/>
      <c r="R102" s="140"/>
      <c r="S102" s="130"/>
      <c r="T102" s="130"/>
      <c r="U102" s="130"/>
      <c r="V102" s="130"/>
    </row>
    <row r="103" spans="1:22" s="93" customFormat="1" ht="19.5" customHeight="1">
      <c r="A103" s="139">
        <v>6</v>
      </c>
      <c r="B103" s="134" t="s">
        <v>519</v>
      </c>
      <c r="C103" s="139"/>
      <c r="D103" s="139"/>
      <c r="E103" s="139"/>
      <c r="F103" s="139"/>
      <c r="G103" s="140">
        <f t="shared" si="25"/>
        <v>1200000</v>
      </c>
      <c r="H103" s="140"/>
      <c r="I103" s="140"/>
      <c r="J103" s="140"/>
      <c r="K103" s="140"/>
      <c r="L103" s="140">
        <f t="shared" si="26"/>
        <v>1200000</v>
      </c>
      <c r="M103" s="140"/>
      <c r="N103" s="140"/>
      <c r="O103" s="140">
        <v>1200000</v>
      </c>
      <c r="P103" s="140"/>
      <c r="Q103" s="140"/>
      <c r="R103" s="140"/>
      <c r="S103" s="130"/>
      <c r="T103" s="130"/>
      <c r="U103" s="130"/>
      <c r="V103" s="130"/>
    </row>
    <row r="104" spans="1:22" s="93" customFormat="1" ht="32.25" customHeight="1">
      <c r="A104" s="139">
        <v>7</v>
      </c>
      <c r="B104" s="134" t="s">
        <v>301</v>
      </c>
      <c r="C104" s="139"/>
      <c r="D104" s="139"/>
      <c r="E104" s="139"/>
      <c r="F104" s="139"/>
      <c r="G104" s="140">
        <f t="shared" si="25"/>
        <v>200000</v>
      </c>
      <c r="H104" s="140">
        <f>SUM(I104:K104)</f>
        <v>0</v>
      </c>
      <c r="I104" s="140"/>
      <c r="J104" s="140"/>
      <c r="K104" s="140"/>
      <c r="L104" s="140">
        <f t="shared" si="26"/>
        <v>200000</v>
      </c>
      <c r="M104" s="140"/>
      <c r="N104" s="140"/>
      <c r="O104" s="140"/>
      <c r="P104" s="140">
        <v>200000</v>
      </c>
      <c r="Q104" s="140"/>
      <c r="R104" s="140"/>
      <c r="S104" s="130"/>
      <c r="T104" s="130"/>
      <c r="U104" s="130"/>
      <c r="V104" s="130"/>
    </row>
    <row r="105" spans="1:22" s="93" customFormat="1" ht="21.75" customHeight="1">
      <c r="A105" s="139">
        <v>8</v>
      </c>
      <c r="B105" s="134" t="s">
        <v>403</v>
      </c>
      <c r="C105" s="139"/>
      <c r="D105" s="139"/>
      <c r="E105" s="139"/>
      <c r="F105" s="139"/>
      <c r="G105" s="140">
        <f t="shared" si="25"/>
        <v>800000</v>
      </c>
      <c r="H105" s="140"/>
      <c r="I105" s="140"/>
      <c r="J105" s="140"/>
      <c r="K105" s="140"/>
      <c r="L105" s="140">
        <f t="shared" si="26"/>
        <v>800000</v>
      </c>
      <c r="M105" s="140"/>
      <c r="N105" s="140"/>
      <c r="O105" s="140">
        <v>800000</v>
      </c>
      <c r="P105" s="140"/>
      <c r="Q105" s="140"/>
      <c r="R105" s="140"/>
      <c r="S105" s="130"/>
      <c r="T105" s="130"/>
      <c r="U105" s="130"/>
      <c r="V105" s="130"/>
    </row>
    <row r="106" spans="1:20" ht="22.5" customHeight="1">
      <c r="A106" s="139">
        <v>9</v>
      </c>
      <c r="B106" s="147" t="s">
        <v>277</v>
      </c>
      <c r="C106" s="139"/>
      <c r="D106" s="139"/>
      <c r="E106" s="139"/>
      <c r="F106" s="139"/>
      <c r="G106" s="140">
        <f>27656000-G104-G103-G102-G101-G100-G99-G98-G105</f>
        <v>752960</v>
      </c>
      <c r="H106" s="140">
        <f t="shared" si="27"/>
        <v>0</v>
      </c>
      <c r="I106" s="140"/>
      <c r="J106" s="140"/>
      <c r="K106" s="140"/>
      <c r="L106" s="140">
        <f t="shared" si="26"/>
        <v>0</v>
      </c>
      <c r="M106" s="140"/>
      <c r="N106" s="140"/>
      <c r="O106" s="140"/>
      <c r="P106" s="140"/>
      <c r="Q106" s="140"/>
      <c r="R106" s="140"/>
      <c r="S106" s="4"/>
      <c r="T106" s="4"/>
    </row>
    <row r="107" spans="1:18" s="16" customFormat="1" ht="20.25" customHeight="1">
      <c r="A107" s="97" t="s">
        <v>46</v>
      </c>
      <c r="B107" s="23" t="s">
        <v>520</v>
      </c>
      <c r="C107" s="151">
        <f>SUM(C108:C111)</f>
        <v>26</v>
      </c>
      <c r="D107" s="151">
        <f>SUM(D108:D111)</f>
        <v>24</v>
      </c>
      <c r="E107" s="151">
        <f>SUM(E108:E111)</f>
        <v>0</v>
      </c>
      <c r="F107" s="151">
        <f>SUM(F108:F111)</f>
        <v>2</v>
      </c>
      <c r="G107" s="138">
        <f>+G108+G112+G114+G115</f>
        <v>2225000</v>
      </c>
      <c r="H107" s="138">
        <f>+H108+H112+H114+H115</f>
        <v>1191000</v>
      </c>
      <c r="I107" s="138">
        <f>+I108+I112+I114+I115</f>
        <v>920000</v>
      </c>
      <c r="J107" s="138">
        <f aca="true" t="shared" si="28" ref="J107:R107">J108+J114+J112</f>
        <v>221000</v>
      </c>
      <c r="K107" s="138">
        <f t="shared" si="28"/>
        <v>50000</v>
      </c>
      <c r="L107" s="138">
        <f>L108+L114+L112</f>
        <v>483000</v>
      </c>
      <c r="M107" s="138">
        <f t="shared" si="28"/>
        <v>0</v>
      </c>
      <c r="N107" s="138">
        <f t="shared" si="28"/>
        <v>450000</v>
      </c>
      <c r="O107" s="138">
        <f t="shared" si="28"/>
        <v>10000</v>
      </c>
      <c r="P107" s="138">
        <f t="shared" si="28"/>
        <v>23000</v>
      </c>
      <c r="Q107" s="138">
        <f t="shared" si="28"/>
        <v>0</v>
      </c>
      <c r="R107" s="138">
        <f t="shared" si="28"/>
        <v>0</v>
      </c>
    </row>
    <row r="108" spans="1:20" ht="21" customHeight="1">
      <c r="A108" s="139">
        <v>1</v>
      </c>
      <c r="B108" s="147" t="s">
        <v>468</v>
      </c>
      <c r="C108" s="153">
        <f aca="true" t="shared" si="29" ref="C108:R108">SUM(C109:C111)</f>
        <v>13</v>
      </c>
      <c r="D108" s="153">
        <f t="shared" si="29"/>
        <v>12</v>
      </c>
      <c r="E108" s="153">
        <f t="shared" si="29"/>
        <v>0</v>
      </c>
      <c r="F108" s="153">
        <f t="shared" si="29"/>
        <v>1</v>
      </c>
      <c r="G108" s="140">
        <f t="shared" si="29"/>
        <v>1574000</v>
      </c>
      <c r="H108" s="140">
        <f t="shared" si="29"/>
        <v>1191000</v>
      </c>
      <c r="I108" s="140">
        <f t="shared" si="29"/>
        <v>920000</v>
      </c>
      <c r="J108" s="140">
        <f t="shared" si="29"/>
        <v>221000</v>
      </c>
      <c r="K108" s="140">
        <f t="shared" si="29"/>
        <v>50000</v>
      </c>
      <c r="L108" s="140">
        <f t="shared" si="29"/>
        <v>383000</v>
      </c>
      <c r="M108" s="140">
        <f t="shared" si="29"/>
        <v>0</v>
      </c>
      <c r="N108" s="140">
        <f t="shared" si="29"/>
        <v>350000</v>
      </c>
      <c r="O108" s="140">
        <f t="shared" si="29"/>
        <v>10000</v>
      </c>
      <c r="P108" s="140">
        <f t="shared" si="29"/>
        <v>23000</v>
      </c>
      <c r="Q108" s="140">
        <f t="shared" si="29"/>
        <v>0</v>
      </c>
      <c r="R108" s="140">
        <f t="shared" si="29"/>
        <v>0</v>
      </c>
      <c r="S108" s="4"/>
      <c r="T108" s="4"/>
    </row>
    <row r="109" spans="1:22" s="93" customFormat="1" ht="20.25" customHeight="1">
      <c r="A109" s="146" t="s">
        <v>4</v>
      </c>
      <c r="B109" s="147" t="s">
        <v>48</v>
      </c>
      <c r="C109" s="152">
        <f>SUM(D109:F109)</f>
        <v>13</v>
      </c>
      <c r="D109" s="139">
        <v>12</v>
      </c>
      <c r="E109" s="139"/>
      <c r="F109" s="139">
        <v>1</v>
      </c>
      <c r="G109" s="140">
        <f>H109+L109+R109</f>
        <v>1224000</v>
      </c>
      <c r="H109" s="140">
        <f>SUM(I109:K109)</f>
        <v>1191000</v>
      </c>
      <c r="I109" s="140">
        <v>920000</v>
      </c>
      <c r="J109" s="140">
        <f>+C109*17000</f>
        <v>221000</v>
      </c>
      <c r="K109" s="140">
        <v>50000</v>
      </c>
      <c r="L109" s="140">
        <f>SUM(M109:Q109)</f>
        <v>33000</v>
      </c>
      <c r="M109" s="140"/>
      <c r="N109" s="140"/>
      <c r="O109" s="140">
        <v>10000</v>
      </c>
      <c r="P109" s="140">
        <v>23000</v>
      </c>
      <c r="Q109" s="140"/>
      <c r="R109" s="140"/>
      <c r="S109" s="130"/>
      <c r="T109" s="130"/>
      <c r="U109" s="130"/>
      <c r="V109" s="130"/>
    </row>
    <row r="110" spans="1:22" s="93" customFormat="1" ht="22.5" customHeight="1">
      <c r="A110" s="139" t="s">
        <v>4</v>
      </c>
      <c r="B110" s="134" t="s">
        <v>402</v>
      </c>
      <c r="C110" s="152"/>
      <c r="D110" s="139"/>
      <c r="E110" s="139"/>
      <c r="F110" s="139"/>
      <c r="G110" s="140">
        <f>H110+L110+R110</f>
        <v>150000</v>
      </c>
      <c r="H110" s="140"/>
      <c r="I110" s="140"/>
      <c r="J110" s="140"/>
      <c r="K110" s="140"/>
      <c r="L110" s="140">
        <f>SUM(M110:Q110)</f>
        <v>150000</v>
      </c>
      <c r="M110" s="140"/>
      <c r="N110" s="140">
        <v>150000</v>
      </c>
      <c r="O110" s="140"/>
      <c r="P110" s="140"/>
      <c r="Q110" s="140"/>
      <c r="R110" s="140"/>
      <c r="S110" s="130"/>
      <c r="T110" s="130"/>
      <c r="U110" s="130"/>
      <c r="V110" s="130"/>
    </row>
    <row r="111" spans="1:22" s="93" customFormat="1" ht="32.25" customHeight="1">
      <c r="A111" s="146" t="s">
        <v>4</v>
      </c>
      <c r="B111" s="134" t="s">
        <v>49</v>
      </c>
      <c r="C111" s="153"/>
      <c r="D111" s="139"/>
      <c r="E111" s="139"/>
      <c r="F111" s="139"/>
      <c r="G111" s="140">
        <f>H111+L111+R111</f>
        <v>200000</v>
      </c>
      <c r="H111" s="138">
        <f>SUM(I111:K111)</f>
        <v>0</v>
      </c>
      <c r="I111" s="140"/>
      <c r="J111" s="140"/>
      <c r="K111" s="140"/>
      <c r="L111" s="140">
        <f>SUM(M111:Q111)</f>
        <v>200000</v>
      </c>
      <c r="M111" s="140"/>
      <c r="N111" s="140">
        <v>200000</v>
      </c>
      <c r="O111" s="140"/>
      <c r="P111" s="140"/>
      <c r="Q111" s="140"/>
      <c r="R111" s="140"/>
      <c r="S111" s="130"/>
      <c r="T111" s="130"/>
      <c r="U111" s="130"/>
      <c r="V111" s="130"/>
    </row>
    <row r="112" spans="1:22" s="93" customFormat="1" ht="21" customHeight="1">
      <c r="A112" s="146">
        <v>2</v>
      </c>
      <c r="B112" s="134" t="s">
        <v>50</v>
      </c>
      <c r="C112" s="153"/>
      <c r="D112" s="139"/>
      <c r="E112" s="139"/>
      <c r="F112" s="139"/>
      <c r="G112" s="140">
        <f>+G113</f>
        <v>100000</v>
      </c>
      <c r="H112" s="140">
        <f aca="true" t="shared" si="30" ref="H112:R112">+H113</f>
        <v>0</v>
      </c>
      <c r="I112" s="140">
        <f t="shared" si="30"/>
        <v>0</v>
      </c>
      <c r="J112" s="140">
        <f t="shared" si="30"/>
        <v>0</v>
      </c>
      <c r="K112" s="140">
        <f t="shared" si="30"/>
        <v>0</v>
      </c>
      <c r="L112" s="140">
        <f t="shared" si="30"/>
        <v>100000</v>
      </c>
      <c r="M112" s="140">
        <f t="shared" si="30"/>
        <v>0</v>
      </c>
      <c r="N112" s="140">
        <f t="shared" si="30"/>
        <v>100000</v>
      </c>
      <c r="O112" s="140">
        <f t="shared" si="30"/>
        <v>0</v>
      </c>
      <c r="P112" s="140">
        <f t="shared" si="30"/>
        <v>0</v>
      </c>
      <c r="Q112" s="140">
        <f t="shared" si="30"/>
        <v>0</v>
      </c>
      <c r="R112" s="140">
        <f t="shared" si="30"/>
        <v>0</v>
      </c>
      <c r="S112" s="130"/>
      <c r="T112" s="130"/>
      <c r="U112" s="130"/>
      <c r="V112" s="130"/>
    </row>
    <row r="113" spans="1:22" s="93" customFormat="1" ht="20.25" customHeight="1">
      <c r="A113" s="164"/>
      <c r="B113" s="165" t="s">
        <v>51</v>
      </c>
      <c r="C113" s="168"/>
      <c r="D113" s="155"/>
      <c r="E113" s="155"/>
      <c r="F113" s="155"/>
      <c r="G113" s="144">
        <f>H113+L113+R113</f>
        <v>100000</v>
      </c>
      <c r="H113" s="144">
        <f>SUM(I113:K113)</f>
        <v>0</v>
      </c>
      <c r="I113" s="144"/>
      <c r="J113" s="144"/>
      <c r="K113" s="144"/>
      <c r="L113" s="144">
        <f>SUM(M113:Q113)</f>
        <v>100000</v>
      </c>
      <c r="M113" s="144"/>
      <c r="N113" s="144">
        <v>100000</v>
      </c>
      <c r="O113" s="144"/>
      <c r="P113" s="144"/>
      <c r="Q113" s="144"/>
      <c r="R113" s="144"/>
      <c r="S113" s="130"/>
      <c r="T113" s="130"/>
      <c r="U113" s="130"/>
      <c r="V113" s="130"/>
    </row>
    <row r="114" spans="1:20" ht="21.75" customHeight="1">
      <c r="A114" s="155">
        <v>3</v>
      </c>
      <c r="B114" s="165" t="s">
        <v>52</v>
      </c>
      <c r="C114" s="168"/>
      <c r="D114" s="155"/>
      <c r="E114" s="155"/>
      <c r="F114" s="155"/>
      <c r="G114" s="144">
        <v>500000</v>
      </c>
      <c r="H114" s="144"/>
      <c r="I114" s="144"/>
      <c r="J114" s="144"/>
      <c r="K114" s="144"/>
      <c r="L114" s="144">
        <f>SUM(M114:Q114)</f>
        <v>0</v>
      </c>
      <c r="M114" s="144"/>
      <c r="N114" s="144"/>
      <c r="O114" s="144"/>
      <c r="P114" s="144"/>
      <c r="Q114" s="144"/>
      <c r="R114" s="144"/>
      <c r="S114" s="4"/>
      <c r="T114" s="4"/>
    </row>
    <row r="115" spans="1:20" ht="22.5" customHeight="1">
      <c r="A115" s="155">
        <v>4</v>
      </c>
      <c r="B115" s="156" t="s">
        <v>277</v>
      </c>
      <c r="C115" s="155"/>
      <c r="D115" s="155"/>
      <c r="E115" s="155"/>
      <c r="F115" s="155"/>
      <c r="G115" s="144">
        <f>2225000-G114-G112-G108</f>
        <v>51000</v>
      </c>
      <c r="H115" s="144">
        <f>SUM(I115:K115)</f>
        <v>0</v>
      </c>
      <c r="I115" s="144"/>
      <c r="J115" s="144"/>
      <c r="K115" s="144"/>
      <c r="L115" s="144">
        <f>SUM(M115:Q115)</f>
        <v>0</v>
      </c>
      <c r="M115" s="144"/>
      <c r="N115" s="144"/>
      <c r="O115" s="144"/>
      <c r="P115" s="144"/>
      <c r="Q115" s="144"/>
      <c r="R115" s="144"/>
      <c r="S115" s="4"/>
      <c r="T115" s="4"/>
    </row>
    <row r="116" spans="1:22" s="96" customFormat="1" ht="22.5" customHeight="1">
      <c r="A116" s="97" t="s">
        <v>53</v>
      </c>
      <c r="B116" s="145" t="s">
        <v>54</v>
      </c>
      <c r="C116" s="151">
        <f>SUM(C117:C119)</f>
        <v>19</v>
      </c>
      <c r="D116" s="151">
        <f>SUM(D117:D119)</f>
        <v>19</v>
      </c>
      <c r="E116" s="151">
        <f>SUM(E117:E119)</f>
        <v>0</v>
      </c>
      <c r="F116" s="151">
        <f>SUM(F117:F119)</f>
        <v>0</v>
      </c>
      <c r="G116" s="138">
        <f>SUM(G117:G118)</f>
        <v>2302000</v>
      </c>
      <c r="H116" s="138">
        <f aca="true" t="shared" si="31" ref="H116:R116">SUM(H117:H118)</f>
        <v>1707000</v>
      </c>
      <c r="I116" s="138">
        <f t="shared" si="31"/>
        <v>1350000</v>
      </c>
      <c r="J116" s="138">
        <f t="shared" si="31"/>
        <v>323000</v>
      </c>
      <c r="K116" s="138">
        <f t="shared" si="31"/>
        <v>34000</v>
      </c>
      <c r="L116" s="138">
        <f t="shared" si="31"/>
        <v>415000</v>
      </c>
      <c r="M116" s="138">
        <f t="shared" si="31"/>
        <v>0</v>
      </c>
      <c r="N116" s="138">
        <f t="shared" si="31"/>
        <v>385000</v>
      </c>
      <c r="O116" s="138">
        <f t="shared" si="31"/>
        <v>10000</v>
      </c>
      <c r="P116" s="138">
        <f t="shared" si="31"/>
        <v>20000</v>
      </c>
      <c r="Q116" s="138">
        <f t="shared" si="31"/>
        <v>0</v>
      </c>
      <c r="R116" s="138">
        <f t="shared" si="31"/>
        <v>0</v>
      </c>
      <c r="S116" s="129"/>
      <c r="T116" s="129"/>
      <c r="U116" s="129"/>
      <c r="V116" s="129"/>
    </row>
    <row r="117" spans="1:22" s="93" customFormat="1" ht="19.5" customHeight="1">
      <c r="A117" s="139">
        <v>1</v>
      </c>
      <c r="B117" s="147" t="s">
        <v>425</v>
      </c>
      <c r="C117" s="152">
        <f>SUM(D117:F117)</f>
        <v>19</v>
      </c>
      <c r="D117" s="153">
        <v>19</v>
      </c>
      <c r="E117" s="153">
        <f>SUM(E119:E119)</f>
        <v>0</v>
      </c>
      <c r="F117" s="153">
        <f>SUM(F119:F119)</f>
        <v>0</v>
      </c>
      <c r="G117" s="140">
        <f>H117+L117+R117</f>
        <v>2122000</v>
      </c>
      <c r="H117" s="140">
        <f>SUM(I117:K117)</f>
        <v>1707000</v>
      </c>
      <c r="I117" s="140">
        <f>1500000-110000-40000</f>
        <v>1350000</v>
      </c>
      <c r="J117" s="140">
        <f>+C117*17000</f>
        <v>323000</v>
      </c>
      <c r="K117" s="140">
        <v>34000</v>
      </c>
      <c r="L117" s="140">
        <f>SUM(M117:Q117)</f>
        <v>415000</v>
      </c>
      <c r="M117" s="140"/>
      <c r="N117" s="140">
        <v>385000</v>
      </c>
      <c r="O117" s="140">
        <v>10000</v>
      </c>
      <c r="P117" s="140">
        <v>20000</v>
      </c>
      <c r="Q117" s="140"/>
      <c r="R117" s="140"/>
      <c r="S117" s="130"/>
      <c r="T117" s="130"/>
      <c r="U117" s="130"/>
      <c r="V117" s="130"/>
    </row>
    <row r="118" spans="1:22" s="93" customFormat="1" ht="21.75" customHeight="1">
      <c r="A118" s="139">
        <v>2</v>
      </c>
      <c r="B118" s="147" t="s">
        <v>277</v>
      </c>
      <c r="C118" s="152"/>
      <c r="D118" s="153"/>
      <c r="E118" s="153"/>
      <c r="F118" s="153"/>
      <c r="G118" s="140">
        <f>2302000-G117</f>
        <v>180000</v>
      </c>
      <c r="H118" s="140"/>
      <c r="I118" s="140"/>
      <c r="J118" s="140"/>
      <c r="K118" s="140"/>
      <c r="L118" s="140">
        <f>SUM(M118:Q118)</f>
        <v>0</v>
      </c>
      <c r="M118" s="140"/>
      <c r="N118" s="140"/>
      <c r="O118" s="140"/>
      <c r="P118" s="140"/>
      <c r="Q118" s="140"/>
      <c r="R118" s="140"/>
      <c r="S118" s="130"/>
      <c r="T118" s="130"/>
      <c r="U118" s="130"/>
      <c r="V118" s="130"/>
    </row>
    <row r="119" spans="1:20" ht="21" customHeight="1">
      <c r="A119" s="97" t="s">
        <v>55</v>
      </c>
      <c r="B119" s="23" t="s">
        <v>56</v>
      </c>
      <c r="C119" s="139"/>
      <c r="D119" s="139"/>
      <c r="E119" s="139"/>
      <c r="F119" s="139"/>
      <c r="G119" s="180" t="s">
        <v>646</v>
      </c>
      <c r="H119" s="138">
        <f aca="true" t="shared" si="32" ref="H119:N119">H120+H121+H122+H124+H125+H135+H136+H143+H144+H123</f>
        <v>0</v>
      </c>
      <c r="I119" s="138">
        <f t="shared" si="32"/>
        <v>0</v>
      </c>
      <c r="J119" s="138">
        <f t="shared" si="32"/>
        <v>0</v>
      </c>
      <c r="K119" s="138">
        <f t="shared" si="32"/>
        <v>0</v>
      </c>
      <c r="L119" s="180" t="s">
        <v>647</v>
      </c>
      <c r="M119" s="180" t="s">
        <v>648</v>
      </c>
      <c r="N119" s="138">
        <f t="shared" si="32"/>
        <v>200000</v>
      </c>
      <c r="O119" s="138">
        <f>O120+O121+O122+O124+O125+O135+O136+O143+O144+O123</f>
        <v>0</v>
      </c>
      <c r="P119" s="138">
        <f>P120+P121+P122+P124+P125+P135+P136+P143+P144+P123</f>
        <v>2567712</v>
      </c>
      <c r="Q119" s="138">
        <f>Q120+Q121+Q122+Q124+Q125+Q135+Q136+Q143+Q144+Q123</f>
        <v>0</v>
      </c>
      <c r="R119" s="138">
        <f>R120+R121+R122+R124+R125+R135+R136+R143+R144+R123</f>
        <v>0</v>
      </c>
      <c r="S119" s="4"/>
      <c r="T119" s="4"/>
    </row>
    <row r="120" spans="1:22" s="93" customFormat="1" ht="21" customHeight="1">
      <c r="A120" s="139">
        <v>1</v>
      </c>
      <c r="B120" s="154" t="s">
        <v>470</v>
      </c>
      <c r="C120" s="152">
        <f>SUM(D120:F120)</f>
        <v>0</v>
      </c>
      <c r="D120" s="153"/>
      <c r="E120" s="153"/>
      <c r="F120" s="153"/>
      <c r="G120" s="140">
        <v>2145000</v>
      </c>
      <c r="H120" s="140">
        <f>SUM(I120:K120)</f>
        <v>0</v>
      </c>
      <c r="I120" s="140"/>
      <c r="J120" s="140"/>
      <c r="K120" s="140"/>
      <c r="L120" s="140">
        <f aca="true" t="shared" si="33" ref="L120:L142">SUM(M120:Q120)</f>
        <v>0</v>
      </c>
      <c r="M120" s="140"/>
      <c r="N120" s="140"/>
      <c r="O120" s="140"/>
      <c r="P120" s="140"/>
      <c r="Q120" s="140"/>
      <c r="R120" s="140"/>
      <c r="S120" s="130"/>
      <c r="T120" s="130"/>
      <c r="U120" s="130"/>
      <c r="V120" s="130"/>
    </row>
    <row r="121" spans="1:22" s="93" customFormat="1" ht="20.25" customHeight="1">
      <c r="A121" s="139">
        <v>2</v>
      </c>
      <c r="B121" s="147" t="s">
        <v>57</v>
      </c>
      <c r="C121" s="139"/>
      <c r="D121" s="139"/>
      <c r="E121" s="139"/>
      <c r="F121" s="139"/>
      <c r="G121" s="140">
        <v>162000</v>
      </c>
      <c r="H121" s="140">
        <f aca="true" t="shared" si="34" ref="H121:H144">SUM(I121:K121)</f>
        <v>0</v>
      </c>
      <c r="I121" s="140"/>
      <c r="J121" s="140"/>
      <c r="K121" s="140"/>
      <c r="L121" s="140">
        <f t="shared" si="33"/>
        <v>0</v>
      </c>
      <c r="M121" s="140"/>
      <c r="N121" s="140"/>
      <c r="O121" s="140"/>
      <c r="P121" s="140"/>
      <c r="Q121" s="140"/>
      <c r="R121" s="140"/>
      <c r="S121" s="130"/>
      <c r="T121" s="130"/>
      <c r="U121" s="130"/>
      <c r="V121" s="130"/>
    </row>
    <row r="122" spans="1:22" s="93" customFormat="1" ht="32.25" customHeight="1">
      <c r="A122" s="139">
        <v>3</v>
      </c>
      <c r="B122" s="134" t="s">
        <v>521</v>
      </c>
      <c r="C122" s="139"/>
      <c r="D122" s="139"/>
      <c r="E122" s="139"/>
      <c r="F122" s="139"/>
      <c r="G122" s="140">
        <v>800000</v>
      </c>
      <c r="H122" s="140">
        <f t="shared" si="34"/>
        <v>0</v>
      </c>
      <c r="I122" s="140"/>
      <c r="J122" s="140"/>
      <c r="K122" s="140"/>
      <c r="L122" s="140">
        <f t="shared" si="33"/>
        <v>0</v>
      </c>
      <c r="M122" s="140"/>
      <c r="N122" s="140"/>
      <c r="O122" s="140"/>
      <c r="P122" s="140"/>
      <c r="Q122" s="140"/>
      <c r="R122" s="140"/>
      <c r="S122" s="130"/>
      <c r="T122" s="130"/>
      <c r="U122" s="130"/>
      <c r="V122" s="130"/>
    </row>
    <row r="123" spans="1:22" s="93" customFormat="1" ht="32.25" customHeight="1">
      <c r="A123" s="139">
        <v>4</v>
      </c>
      <c r="B123" s="134" t="s">
        <v>522</v>
      </c>
      <c r="C123" s="139"/>
      <c r="D123" s="139"/>
      <c r="E123" s="139"/>
      <c r="F123" s="139"/>
      <c r="G123" s="140">
        <v>200000</v>
      </c>
      <c r="H123" s="140">
        <f>SUM(I123:K123)</f>
        <v>0</v>
      </c>
      <c r="I123" s="140"/>
      <c r="J123" s="140"/>
      <c r="K123" s="140"/>
      <c r="L123" s="140">
        <f>SUM(M123:Q123)</f>
        <v>200000</v>
      </c>
      <c r="M123" s="140"/>
      <c r="N123" s="140">
        <v>200000</v>
      </c>
      <c r="O123" s="140"/>
      <c r="P123" s="140"/>
      <c r="Q123" s="140"/>
      <c r="R123" s="140"/>
      <c r="S123" s="130"/>
      <c r="T123" s="130"/>
      <c r="U123" s="130"/>
      <c r="V123" s="130"/>
    </row>
    <row r="124" spans="1:22" s="93" customFormat="1" ht="33" customHeight="1">
      <c r="A124" s="139">
        <v>5</v>
      </c>
      <c r="B124" s="134" t="s">
        <v>536</v>
      </c>
      <c r="C124" s="139"/>
      <c r="D124" s="139"/>
      <c r="E124" s="139"/>
      <c r="F124" s="139"/>
      <c r="G124" s="140">
        <v>3500000</v>
      </c>
      <c r="H124" s="140">
        <f t="shared" si="34"/>
        <v>0</v>
      </c>
      <c r="I124" s="140"/>
      <c r="J124" s="140"/>
      <c r="K124" s="140"/>
      <c r="L124" s="140">
        <f t="shared" si="33"/>
        <v>3500000</v>
      </c>
      <c r="M124" s="140">
        <v>3500000</v>
      </c>
      <c r="N124" s="140"/>
      <c r="O124" s="140"/>
      <c r="P124" s="140"/>
      <c r="Q124" s="140"/>
      <c r="R124" s="140"/>
      <c r="S124" s="130"/>
      <c r="T124" s="130"/>
      <c r="U124" s="130"/>
      <c r="V124" s="130"/>
    </row>
    <row r="125" spans="1:22" s="93" customFormat="1" ht="21.75" customHeight="1">
      <c r="A125" s="139">
        <v>6</v>
      </c>
      <c r="B125" s="147" t="s">
        <v>406</v>
      </c>
      <c r="C125" s="139"/>
      <c r="D125" s="139"/>
      <c r="E125" s="139"/>
      <c r="F125" s="139"/>
      <c r="G125" s="140">
        <v>2234000</v>
      </c>
      <c r="H125" s="140">
        <f t="shared" si="34"/>
        <v>0</v>
      </c>
      <c r="I125" s="140"/>
      <c r="J125" s="140"/>
      <c r="K125" s="140"/>
      <c r="L125" s="140">
        <f aca="true" t="shared" si="35" ref="L125:Q125">SUM(L126:L134)</f>
        <v>1907712</v>
      </c>
      <c r="M125" s="140">
        <f t="shared" si="35"/>
        <v>0</v>
      </c>
      <c r="N125" s="140">
        <f t="shared" si="35"/>
        <v>0</v>
      </c>
      <c r="O125" s="140">
        <f t="shared" si="35"/>
        <v>0</v>
      </c>
      <c r="P125" s="140">
        <f t="shared" si="35"/>
        <v>1907712</v>
      </c>
      <c r="Q125" s="140">
        <f t="shared" si="35"/>
        <v>0</v>
      </c>
      <c r="R125" s="140"/>
      <c r="S125" s="130"/>
      <c r="T125" s="130"/>
      <c r="U125" s="130"/>
      <c r="V125" s="130"/>
    </row>
    <row r="126" spans="1:22" s="93" customFormat="1" ht="21" customHeight="1">
      <c r="A126" s="139" t="s">
        <v>4</v>
      </c>
      <c r="B126" s="132" t="s">
        <v>387</v>
      </c>
      <c r="C126" s="149"/>
      <c r="D126" s="139"/>
      <c r="E126" s="139"/>
      <c r="F126" s="139"/>
      <c r="G126" s="140">
        <f aca="true" t="shared" si="36" ref="G126:G133">H126+L126+R126</f>
        <v>53544</v>
      </c>
      <c r="H126" s="140"/>
      <c r="I126" s="140"/>
      <c r="J126" s="140"/>
      <c r="K126" s="140"/>
      <c r="L126" s="140">
        <f aca="true" t="shared" si="37" ref="L126:L133">SUM(M126:Q126)</f>
        <v>53544</v>
      </c>
      <c r="M126" s="140"/>
      <c r="N126" s="140"/>
      <c r="O126" s="140"/>
      <c r="P126" s="140">
        <f>13386*4</f>
        <v>53544</v>
      </c>
      <c r="Q126" s="140"/>
      <c r="R126" s="140"/>
      <c r="S126" s="130"/>
      <c r="T126" s="130"/>
      <c r="U126" s="130"/>
      <c r="V126" s="130"/>
    </row>
    <row r="127" spans="1:22" s="93" customFormat="1" ht="21" customHeight="1">
      <c r="A127" s="139" t="s">
        <v>4</v>
      </c>
      <c r="B127" s="132" t="s">
        <v>442</v>
      </c>
      <c r="C127" s="149"/>
      <c r="D127" s="139"/>
      <c r="E127" s="139"/>
      <c r="F127" s="139"/>
      <c r="G127" s="140">
        <f t="shared" si="36"/>
        <v>210312</v>
      </c>
      <c r="H127" s="140"/>
      <c r="I127" s="140"/>
      <c r="J127" s="140"/>
      <c r="K127" s="140"/>
      <c r="L127" s="140">
        <f t="shared" si="37"/>
        <v>210312</v>
      </c>
      <c r="M127" s="140"/>
      <c r="N127" s="140"/>
      <c r="O127" s="140"/>
      <c r="P127" s="140">
        <f>52578*4</f>
        <v>210312</v>
      </c>
      <c r="Q127" s="140"/>
      <c r="R127" s="140"/>
      <c r="S127" s="130"/>
      <c r="T127" s="130"/>
      <c r="U127" s="130"/>
      <c r="V127" s="130"/>
    </row>
    <row r="128" spans="1:22" s="93" customFormat="1" ht="21" customHeight="1">
      <c r="A128" s="139" t="s">
        <v>4</v>
      </c>
      <c r="B128" s="132" t="s">
        <v>443</v>
      </c>
      <c r="C128" s="149"/>
      <c r="D128" s="139"/>
      <c r="E128" s="139"/>
      <c r="F128" s="139"/>
      <c r="G128" s="140">
        <f t="shared" si="36"/>
        <v>159528</v>
      </c>
      <c r="H128" s="140"/>
      <c r="I128" s="140"/>
      <c r="J128" s="140"/>
      <c r="K128" s="140"/>
      <c r="L128" s="140">
        <f t="shared" si="37"/>
        <v>159528</v>
      </c>
      <c r="M128" s="140"/>
      <c r="N128" s="140"/>
      <c r="O128" s="140"/>
      <c r="P128" s="140">
        <f>39882*4</f>
        <v>159528</v>
      </c>
      <c r="Q128" s="140"/>
      <c r="R128" s="140"/>
      <c r="S128" s="130"/>
      <c r="T128" s="130"/>
      <c r="U128" s="130"/>
      <c r="V128" s="130"/>
    </row>
    <row r="129" spans="1:22" s="93" customFormat="1" ht="21" customHeight="1">
      <c r="A129" s="139" t="s">
        <v>4</v>
      </c>
      <c r="B129" s="132" t="s">
        <v>444</v>
      </c>
      <c r="C129" s="149"/>
      <c r="D129" s="139"/>
      <c r="E129" s="139"/>
      <c r="F129" s="139"/>
      <c r="G129" s="140">
        <f t="shared" si="36"/>
        <v>342792</v>
      </c>
      <c r="H129" s="140"/>
      <c r="I129" s="140"/>
      <c r="J129" s="140"/>
      <c r="K129" s="140"/>
      <c r="L129" s="140">
        <f t="shared" si="37"/>
        <v>342792</v>
      </c>
      <c r="M129" s="140"/>
      <c r="N129" s="140"/>
      <c r="O129" s="140"/>
      <c r="P129" s="140">
        <f>85698*4</f>
        <v>342792</v>
      </c>
      <c r="Q129" s="140"/>
      <c r="R129" s="140"/>
      <c r="S129" s="130"/>
      <c r="T129" s="130"/>
      <c r="U129" s="130"/>
      <c r="V129" s="130"/>
    </row>
    <row r="130" spans="1:22" s="93" customFormat="1" ht="21" customHeight="1">
      <c r="A130" s="139" t="s">
        <v>4</v>
      </c>
      <c r="B130" s="132" t="s">
        <v>445</v>
      </c>
      <c r="C130" s="149"/>
      <c r="D130" s="139"/>
      <c r="E130" s="139"/>
      <c r="F130" s="139"/>
      <c r="G130" s="140">
        <f t="shared" si="36"/>
        <v>125856</v>
      </c>
      <c r="H130" s="140"/>
      <c r="I130" s="140"/>
      <c r="J130" s="140"/>
      <c r="K130" s="140"/>
      <c r="L130" s="140">
        <f t="shared" si="37"/>
        <v>125856</v>
      </c>
      <c r="M130" s="140"/>
      <c r="N130" s="140"/>
      <c r="O130" s="140"/>
      <c r="P130" s="140">
        <f>31464*4</f>
        <v>125856</v>
      </c>
      <c r="Q130" s="140"/>
      <c r="R130" s="140"/>
      <c r="S130" s="130"/>
      <c r="T130" s="130"/>
      <c r="U130" s="130"/>
      <c r="V130" s="130"/>
    </row>
    <row r="131" spans="1:22" s="93" customFormat="1" ht="21" customHeight="1">
      <c r="A131" s="139" t="s">
        <v>4</v>
      </c>
      <c r="B131" s="132" t="s">
        <v>446</v>
      </c>
      <c r="C131" s="149"/>
      <c r="D131" s="139"/>
      <c r="E131" s="139"/>
      <c r="F131" s="139"/>
      <c r="G131" s="140">
        <f t="shared" si="36"/>
        <v>377568</v>
      </c>
      <c r="H131" s="140"/>
      <c r="I131" s="140"/>
      <c r="J131" s="140"/>
      <c r="K131" s="140"/>
      <c r="L131" s="140">
        <f t="shared" si="37"/>
        <v>377568</v>
      </c>
      <c r="M131" s="140"/>
      <c r="N131" s="140"/>
      <c r="O131" s="140"/>
      <c r="P131" s="140">
        <f>94392*4</f>
        <v>377568</v>
      </c>
      <c r="Q131" s="140"/>
      <c r="R131" s="140"/>
      <c r="S131" s="130"/>
      <c r="T131" s="130"/>
      <c r="U131" s="130"/>
      <c r="V131" s="130"/>
    </row>
    <row r="132" spans="1:22" s="93" customFormat="1" ht="21" customHeight="1">
      <c r="A132" s="139" t="s">
        <v>4</v>
      </c>
      <c r="B132" s="132" t="s">
        <v>447</v>
      </c>
      <c r="C132" s="149"/>
      <c r="D132" s="139"/>
      <c r="E132" s="139"/>
      <c r="F132" s="139"/>
      <c r="G132" s="140">
        <f t="shared" si="36"/>
        <v>481896</v>
      </c>
      <c r="H132" s="140"/>
      <c r="I132" s="140"/>
      <c r="J132" s="140"/>
      <c r="K132" s="140"/>
      <c r="L132" s="140">
        <f t="shared" si="37"/>
        <v>481896</v>
      </c>
      <c r="M132" s="140"/>
      <c r="N132" s="140"/>
      <c r="O132" s="140"/>
      <c r="P132" s="140">
        <f>120474*4</f>
        <v>481896</v>
      </c>
      <c r="Q132" s="140"/>
      <c r="R132" s="140"/>
      <c r="S132" s="130"/>
      <c r="T132" s="130"/>
      <c r="U132" s="130"/>
      <c r="V132" s="130"/>
    </row>
    <row r="133" spans="1:22" s="93" customFormat="1" ht="21" customHeight="1">
      <c r="A133" s="139" t="s">
        <v>4</v>
      </c>
      <c r="B133" s="132" t="s">
        <v>400</v>
      </c>
      <c r="C133" s="149"/>
      <c r="D133" s="139"/>
      <c r="E133" s="139"/>
      <c r="F133" s="139"/>
      <c r="G133" s="140">
        <f t="shared" si="36"/>
        <v>156216</v>
      </c>
      <c r="H133" s="140"/>
      <c r="I133" s="140"/>
      <c r="J133" s="140"/>
      <c r="K133" s="140"/>
      <c r="L133" s="140">
        <f t="shared" si="37"/>
        <v>156216</v>
      </c>
      <c r="M133" s="140"/>
      <c r="N133" s="140"/>
      <c r="O133" s="140"/>
      <c r="P133" s="140">
        <f>39054*4</f>
        <v>156216</v>
      </c>
      <c r="Q133" s="140"/>
      <c r="R133" s="140"/>
      <c r="S133" s="130"/>
      <c r="T133" s="130"/>
      <c r="U133" s="130"/>
      <c r="V133" s="130"/>
    </row>
    <row r="134" spans="1:22" s="93" customFormat="1" ht="21.75" customHeight="1">
      <c r="A134" s="139" t="s">
        <v>4</v>
      </c>
      <c r="B134" s="147" t="s">
        <v>277</v>
      </c>
      <c r="C134" s="139"/>
      <c r="D134" s="139"/>
      <c r="E134" s="139"/>
      <c r="F134" s="139"/>
      <c r="G134" s="140">
        <f>2234000-SUM(G126:G133)</f>
        <v>326288</v>
      </c>
      <c r="H134" s="140">
        <f>SUM(I134:K134)</f>
        <v>0</v>
      </c>
      <c r="I134" s="140"/>
      <c r="J134" s="140"/>
      <c r="K134" s="140"/>
      <c r="L134" s="140">
        <f>SUM(M134:Q134)</f>
        <v>0</v>
      </c>
      <c r="M134" s="140"/>
      <c r="N134" s="140"/>
      <c r="O134" s="140"/>
      <c r="P134" s="140"/>
      <c r="Q134" s="140"/>
      <c r="R134" s="140"/>
      <c r="S134" s="130"/>
      <c r="T134" s="130"/>
      <c r="U134" s="130"/>
      <c r="V134" s="130"/>
    </row>
    <row r="135" spans="1:22" s="93" customFormat="1" ht="30" customHeight="1">
      <c r="A135" s="139">
        <v>7</v>
      </c>
      <c r="B135" s="134" t="s">
        <v>473</v>
      </c>
      <c r="C135" s="139"/>
      <c r="D135" s="139"/>
      <c r="E135" s="139"/>
      <c r="F135" s="139"/>
      <c r="G135" s="140">
        <v>500000</v>
      </c>
      <c r="H135" s="140">
        <f>SUM(I135:K135)</f>
        <v>0</v>
      </c>
      <c r="I135" s="140"/>
      <c r="J135" s="140"/>
      <c r="K135" s="140"/>
      <c r="L135" s="140">
        <f t="shared" si="33"/>
        <v>500000</v>
      </c>
      <c r="M135" s="140"/>
      <c r="N135" s="140"/>
      <c r="O135" s="140"/>
      <c r="P135" s="140">
        <v>500000</v>
      </c>
      <c r="Q135" s="140"/>
      <c r="R135" s="140"/>
      <c r="S135" s="130"/>
      <c r="T135" s="130"/>
      <c r="U135" s="130"/>
      <c r="V135" s="130"/>
    </row>
    <row r="136" spans="1:22" s="93" customFormat="1" ht="21.75" customHeight="1">
      <c r="A136" s="139">
        <v>8</v>
      </c>
      <c r="B136" s="147" t="s">
        <v>56</v>
      </c>
      <c r="C136" s="139"/>
      <c r="D136" s="139"/>
      <c r="E136" s="139"/>
      <c r="F136" s="139"/>
      <c r="G136" s="140">
        <f>SUM(G137:G142)</f>
        <v>1885500</v>
      </c>
      <c r="H136" s="140">
        <f aca="true" t="shared" si="38" ref="H136:Q136">SUM(H137:H142)</f>
        <v>0</v>
      </c>
      <c r="I136" s="140">
        <f t="shared" si="38"/>
        <v>0</v>
      </c>
      <c r="J136" s="140">
        <f t="shared" si="38"/>
        <v>0</v>
      </c>
      <c r="K136" s="140">
        <f>SUM(K137:K142)</f>
        <v>0</v>
      </c>
      <c r="L136" s="140">
        <f t="shared" si="38"/>
        <v>160000</v>
      </c>
      <c r="M136" s="140">
        <f t="shared" si="38"/>
        <v>0</v>
      </c>
      <c r="N136" s="140">
        <f t="shared" si="38"/>
        <v>0</v>
      </c>
      <c r="O136" s="140">
        <f t="shared" si="38"/>
        <v>0</v>
      </c>
      <c r="P136" s="140">
        <f t="shared" si="38"/>
        <v>160000</v>
      </c>
      <c r="Q136" s="140">
        <f t="shared" si="38"/>
        <v>0</v>
      </c>
      <c r="R136" s="140"/>
      <c r="S136" s="130"/>
      <c r="T136" s="130"/>
      <c r="U136" s="130"/>
      <c r="V136" s="130"/>
    </row>
    <row r="137" spans="1:22" s="93" customFormat="1" ht="22.5" customHeight="1">
      <c r="A137" s="146" t="s">
        <v>4</v>
      </c>
      <c r="B137" s="147" t="s">
        <v>474</v>
      </c>
      <c r="C137" s="139"/>
      <c r="D137" s="139"/>
      <c r="E137" s="139"/>
      <c r="F137" s="139"/>
      <c r="G137" s="140">
        <v>85000</v>
      </c>
      <c r="H137" s="140">
        <f t="shared" si="34"/>
        <v>0</v>
      </c>
      <c r="I137" s="140"/>
      <c r="J137" s="140"/>
      <c r="K137" s="140"/>
      <c r="L137" s="140">
        <f t="shared" si="33"/>
        <v>0</v>
      </c>
      <c r="M137" s="140"/>
      <c r="N137" s="140"/>
      <c r="O137" s="140"/>
      <c r="P137" s="140"/>
      <c r="Q137" s="140"/>
      <c r="R137" s="140"/>
      <c r="S137" s="130"/>
      <c r="T137" s="130"/>
      <c r="U137" s="130"/>
      <c r="V137" s="130"/>
    </row>
    <row r="138" spans="1:22" s="93" customFormat="1" ht="33.75" customHeight="1">
      <c r="A138" s="164" t="s">
        <v>4</v>
      </c>
      <c r="B138" s="165" t="s">
        <v>477</v>
      </c>
      <c r="C138" s="155"/>
      <c r="D138" s="155"/>
      <c r="E138" s="155"/>
      <c r="F138" s="155"/>
      <c r="G138" s="144">
        <v>160000</v>
      </c>
      <c r="H138" s="144">
        <f t="shared" si="34"/>
        <v>0</v>
      </c>
      <c r="I138" s="144"/>
      <c r="J138" s="144"/>
      <c r="K138" s="144"/>
      <c r="L138" s="144">
        <f t="shared" si="33"/>
        <v>160000</v>
      </c>
      <c r="M138" s="144"/>
      <c r="N138" s="144"/>
      <c r="O138" s="144"/>
      <c r="P138" s="144">
        <v>160000</v>
      </c>
      <c r="Q138" s="144"/>
      <c r="R138" s="144"/>
      <c r="S138" s="130"/>
      <c r="T138" s="130"/>
      <c r="U138" s="130"/>
      <c r="V138" s="130"/>
    </row>
    <row r="139" spans="1:20" ht="33.75" customHeight="1" hidden="1">
      <c r="A139" s="164" t="s">
        <v>4</v>
      </c>
      <c r="B139" s="165" t="s">
        <v>58</v>
      </c>
      <c r="C139" s="155"/>
      <c r="D139" s="155"/>
      <c r="E139" s="155"/>
      <c r="F139" s="155"/>
      <c r="G139" s="144"/>
      <c r="H139" s="144">
        <f t="shared" si="34"/>
        <v>0</v>
      </c>
      <c r="I139" s="144"/>
      <c r="J139" s="144"/>
      <c r="K139" s="144"/>
      <c r="L139" s="144">
        <f t="shared" si="33"/>
        <v>0</v>
      </c>
      <c r="M139" s="144"/>
      <c r="N139" s="144"/>
      <c r="O139" s="144"/>
      <c r="P139" s="144"/>
      <c r="Q139" s="144"/>
      <c r="R139" s="144"/>
      <c r="S139" s="4"/>
      <c r="T139" s="4"/>
    </row>
    <row r="140" spans="1:20" ht="25.5" customHeight="1" hidden="1">
      <c r="A140" s="164" t="s">
        <v>4</v>
      </c>
      <c r="B140" s="156" t="s">
        <v>59</v>
      </c>
      <c r="C140" s="155"/>
      <c r="D140" s="155"/>
      <c r="E140" s="155"/>
      <c r="F140" s="155"/>
      <c r="G140" s="144"/>
      <c r="H140" s="144">
        <f t="shared" si="34"/>
        <v>0</v>
      </c>
      <c r="I140" s="144"/>
      <c r="J140" s="144"/>
      <c r="K140" s="144"/>
      <c r="L140" s="144">
        <f t="shared" si="33"/>
        <v>0</v>
      </c>
      <c r="M140" s="144"/>
      <c r="N140" s="144"/>
      <c r="O140" s="144"/>
      <c r="P140" s="144"/>
      <c r="Q140" s="144"/>
      <c r="R140" s="144"/>
      <c r="S140" s="4"/>
      <c r="T140" s="4"/>
    </row>
    <row r="141" spans="1:20" ht="39.75" customHeight="1" hidden="1">
      <c r="A141" s="164" t="s">
        <v>4</v>
      </c>
      <c r="B141" s="165" t="s">
        <v>60</v>
      </c>
      <c r="C141" s="155"/>
      <c r="D141" s="155"/>
      <c r="E141" s="155"/>
      <c r="F141" s="155"/>
      <c r="G141" s="144">
        <f>H141+L141+R141</f>
        <v>0</v>
      </c>
      <c r="H141" s="144">
        <f t="shared" si="34"/>
        <v>0</v>
      </c>
      <c r="I141" s="144"/>
      <c r="J141" s="144"/>
      <c r="K141" s="144"/>
      <c r="L141" s="144">
        <f t="shared" si="33"/>
        <v>0</v>
      </c>
      <c r="M141" s="144"/>
      <c r="N141" s="144"/>
      <c r="O141" s="144"/>
      <c r="P141" s="144"/>
      <c r="Q141" s="144"/>
      <c r="R141" s="144"/>
      <c r="S141" s="4"/>
      <c r="T141" s="4"/>
    </row>
    <row r="142" spans="1:22" s="93" customFormat="1" ht="20.25" customHeight="1">
      <c r="A142" s="164" t="s">
        <v>4</v>
      </c>
      <c r="B142" s="156" t="s">
        <v>61</v>
      </c>
      <c r="C142" s="155"/>
      <c r="D142" s="155"/>
      <c r="E142" s="155"/>
      <c r="F142" s="155"/>
      <c r="G142" s="144">
        <f>1797000-G140-G138-G139-G137-G141+110500-22000</f>
        <v>1640500</v>
      </c>
      <c r="H142" s="144">
        <f t="shared" si="34"/>
        <v>0</v>
      </c>
      <c r="I142" s="144"/>
      <c r="J142" s="144"/>
      <c r="K142" s="144"/>
      <c r="L142" s="144">
        <f t="shared" si="33"/>
        <v>0</v>
      </c>
      <c r="M142" s="144"/>
      <c r="N142" s="144"/>
      <c r="O142" s="144"/>
      <c r="P142" s="144"/>
      <c r="Q142" s="144"/>
      <c r="R142" s="144"/>
      <c r="S142" s="130"/>
      <c r="T142" s="130"/>
      <c r="U142" s="130"/>
      <c r="V142" s="130"/>
    </row>
    <row r="143" spans="1:22" s="93" customFormat="1" ht="21.75" customHeight="1">
      <c r="A143" s="155">
        <v>9</v>
      </c>
      <c r="B143" s="156" t="s">
        <v>62</v>
      </c>
      <c r="C143" s="155"/>
      <c r="D143" s="155"/>
      <c r="E143" s="155"/>
      <c r="F143" s="155"/>
      <c r="G143" s="193" t="s">
        <v>649</v>
      </c>
      <c r="H143" s="144">
        <f t="shared" si="34"/>
        <v>0</v>
      </c>
      <c r="I143" s="144"/>
      <c r="J143" s="144"/>
      <c r="K143" s="144"/>
      <c r="L143" s="144">
        <f>SUM(M143:Q143)</f>
        <v>0</v>
      </c>
      <c r="M143" s="144" t="str">
        <f>G143</f>
        <v>1.813.500</v>
      </c>
      <c r="N143" s="144"/>
      <c r="O143" s="144"/>
      <c r="P143" s="144"/>
      <c r="Q143" s="144"/>
      <c r="R143" s="144"/>
      <c r="S143" s="130"/>
      <c r="T143" s="130"/>
      <c r="U143" s="130"/>
      <c r="V143" s="130"/>
    </row>
    <row r="144" spans="1:20" ht="21.75" customHeight="1">
      <c r="A144" s="155">
        <v>10</v>
      </c>
      <c r="B144" s="156" t="s">
        <v>277</v>
      </c>
      <c r="C144" s="155"/>
      <c r="D144" s="155"/>
      <c r="E144" s="155"/>
      <c r="F144" s="155"/>
      <c r="G144" s="193" t="s">
        <v>4</v>
      </c>
      <c r="H144" s="144">
        <f t="shared" si="34"/>
        <v>0</v>
      </c>
      <c r="I144" s="144"/>
      <c r="J144" s="144"/>
      <c r="K144" s="144"/>
      <c r="L144" s="144">
        <f>SUM(M144:Q144)</f>
        <v>0</v>
      </c>
      <c r="M144" s="144"/>
      <c r="N144" s="144"/>
      <c r="O144" s="144"/>
      <c r="P144" s="144"/>
      <c r="Q144" s="144"/>
      <c r="R144" s="144"/>
      <c r="S144" s="4"/>
      <c r="T144" s="4"/>
    </row>
    <row r="145" spans="1:18" s="16" customFormat="1" ht="21.75" customHeight="1">
      <c r="A145" s="97" t="s">
        <v>63</v>
      </c>
      <c r="B145" s="157" t="s">
        <v>64</v>
      </c>
      <c r="C145" s="151">
        <f>+C146+C165+C217+C245</f>
        <v>346</v>
      </c>
      <c r="D145" s="151">
        <f>+D146+D165+D217+D245</f>
        <v>0</v>
      </c>
      <c r="E145" s="151">
        <f>+E146+E165+E217+E245</f>
        <v>338</v>
      </c>
      <c r="F145" s="151">
        <f>+F146+F165+F217+F245</f>
        <v>8</v>
      </c>
      <c r="G145" s="138">
        <f aca="true" t="shared" si="39" ref="G145:R145">G146+G165+G217+G232+G233+G245</f>
        <v>71486000</v>
      </c>
      <c r="H145" s="138">
        <f t="shared" si="39"/>
        <v>23118300</v>
      </c>
      <c r="I145" s="138">
        <f t="shared" si="39"/>
        <v>19440300</v>
      </c>
      <c r="J145" s="138">
        <f t="shared" si="39"/>
        <v>3128000</v>
      </c>
      <c r="K145" s="138">
        <f t="shared" si="39"/>
        <v>550000</v>
      </c>
      <c r="L145" s="138">
        <f t="shared" si="39"/>
        <v>8019820</v>
      </c>
      <c r="M145" s="138">
        <f t="shared" si="39"/>
        <v>563920</v>
      </c>
      <c r="N145" s="138">
        <f t="shared" si="39"/>
        <v>5133000</v>
      </c>
      <c r="O145" s="138">
        <f t="shared" si="39"/>
        <v>1261000</v>
      </c>
      <c r="P145" s="138">
        <f t="shared" si="39"/>
        <v>871900</v>
      </c>
      <c r="Q145" s="138">
        <f t="shared" si="39"/>
        <v>190000</v>
      </c>
      <c r="R145" s="138">
        <f t="shared" si="39"/>
        <v>0</v>
      </c>
    </row>
    <row r="146" spans="1:22" s="95" customFormat="1" ht="20.25" customHeight="1">
      <c r="A146" s="139">
        <v>1</v>
      </c>
      <c r="B146" s="154" t="s">
        <v>475</v>
      </c>
      <c r="C146" s="153">
        <f aca="true" t="shared" si="40" ref="C146:Q146">+C147++C162+C163+C164</f>
        <v>35</v>
      </c>
      <c r="D146" s="153">
        <f t="shared" si="40"/>
        <v>0</v>
      </c>
      <c r="E146" s="153">
        <f t="shared" si="40"/>
        <v>35</v>
      </c>
      <c r="F146" s="153">
        <f t="shared" si="40"/>
        <v>0</v>
      </c>
      <c r="G146" s="169">
        <f t="shared" si="40"/>
        <v>8085000</v>
      </c>
      <c r="H146" s="169">
        <f t="shared" si="40"/>
        <v>5405000</v>
      </c>
      <c r="I146" s="169">
        <f t="shared" si="40"/>
        <v>4520000</v>
      </c>
      <c r="J146" s="169">
        <f t="shared" si="40"/>
        <v>735000</v>
      </c>
      <c r="K146" s="169">
        <f t="shared" si="40"/>
        <v>150000</v>
      </c>
      <c r="L146" s="169">
        <f>+L147++L162+L163+L164</f>
        <v>2565820</v>
      </c>
      <c r="M146" s="169">
        <f t="shared" si="40"/>
        <v>318320</v>
      </c>
      <c r="N146" s="169">
        <f t="shared" si="40"/>
        <v>2035000</v>
      </c>
      <c r="O146" s="169">
        <f t="shared" si="40"/>
        <v>0</v>
      </c>
      <c r="P146" s="169">
        <f t="shared" si="40"/>
        <v>212500</v>
      </c>
      <c r="Q146" s="169">
        <f t="shared" si="40"/>
        <v>0</v>
      </c>
      <c r="R146" s="169"/>
      <c r="S146" s="131"/>
      <c r="T146" s="131"/>
      <c r="U146" s="131"/>
      <c r="V146" s="131"/>
    </row>
    <row r="147" spans="1:22" s="95" customFormat="1" ht="22.5" customHeight="1">
      <c r="A147" s="155" t="s">
        <v>283</v>
      </c>
      <c r="B147" s="156" t="s">
        <v>66</v>
      </c>
      <c r="C147" s="168">
        <f>SUM(D147:F147)</f>
        <v>35</v>
      </c>
      <c r="D147" s="168"/>
      <c r="E147" s="168">
        <v>35</v>
      </c>
      <c r="F147" s="170" t="s">
        <v>67</v>
      </c>
      <c r="G147" s="144">
        <f>SUM(G148:G161)</f>
        <v>7735820</v>
      </c>
      <c r="H147" s="144">
        <f aca="true" t="shared" si="41" ref="H147:R147">SUM(H148:H161)</f>
        <v>5405000</v>
      </c>
      <c r="I147" s="144">
        <f t="shared" si="41"/>
        <v>4520000</v>
      </c>
      <c r="J147" s="144">
        <f t="shared" si="41"/>
        <v>735000</v>
      </c>
      <c r="K147" s="144">
        <f t="shared" si="41"/>
        <v>150000</v>
      </c>
      <c r="L147" s="144">
        <f>SUM(L148:L161)</f>
        <v>2330820</v>
      </c>
      <c r="M147" s="144">
        <f t="shared" si="41"/>
        <v>318320</v>
      </c>
      <c r="N147" s="144">
        <f t="shared" si="41"/>
        <v>1900000</v>
      </c>
      <c r="O147" s="144">
        <f t="shared" si="41"/>
        <v>0</v>
      </c>
      <c r="P147" s="144">
        <f t="shared" si="41"/>
        <v>112500</v>
      </c>
      <c r="Q147" s="144">
        <f t="shared" si="41"/>
        <v>0</v>
      </c>
      <c r="R147" s="144">
        <f t="shared" si="41"/>
        <v>0</v>
      </c>
      <c r="S147" s="131"/>
      <c r="T147" s="131"/>
      <c r="U147" s="131"/>
      <c r="V147" s="131"/>
    </row>
    <row r="148" spans="1:22" s="95" customFormat="1" ht="21.75" customHeight="1">
      <c r="A148" s="146" t="s">
        <v>4</v>
      </c>
      <c r="B148" s="134" t="s">
        <v>68</v>
      </c>
      <c r="C148" s="153"/>
      <c r="D148" s="153"/>
      <c r="E148" s="153"/>
      <c r="F148" s="153"/>
      <c r="G148" s="140">
        <f aca="true" t="shared" si="42" ref="G148:G163">H148+L148+R148</f>
        <v>5717500</v>
      </c>
      <c r="H148" s="140">
        <f>SUM(I148:K148)</f>
        <v>5405000</v>
      </c>
      <c r="I148" s="140">
        <v>4520000</v>
      </c>
      <c r="J148" s="140">
        <f>C147*21000</f>
        <v>735000</v>
      </c>
      <c r="K148" s="140">
        <v>150000</v>
      </c>
      <c r="L148" s="140">
        <f>SUM(M148:R148)</f>
        <v>312500</v>
      </c>
      <c r="M148" s="140"/>
      <c r="N148" s="140">
        <v>200000</v>
      </c>
      <c r="O148" s="140"/>
      <c r="P148" s="140">
        <v>112500</v>
      </c>
      <c r="Q148" s="140"/>
      <c r="R148" s="140"/>
      <c r="S148" s="131"/>
      <c r="T148" s="131"/>
      <c r="U148" s="131"/>
      <c r="V148" s="131"/>
    </row>
    <row r="149" spans="1:22" s="95" customFormat="1" ht="20.25" customHeight="1">
      <c r="A149" s="146" t="s">
        <v>4</v>
      </c>
      <c r="B149" s="134" t="s">
        <v>69</v>
      </c>
      <c r="C149" s="153"/>
      <c r="D149" s="153"/>
      <c r="E149" s="153"/>
      <c r="F149" s="153"/>
      <c r="G149" s="140">
        <f t="shared" si="42"/>
        <v>190000</v>
      </c>
      <c r="H149" s="140">
        <f aca="true" t="shared" si="43" ref="H149:H164">SUM(I149:K149)</f>
        <v>0</v>
      </c>
      <c r="I149" s="140"/>
      <c r="J149" s="140"/>
      <c r="K149" s="140"/>
      <c r="L149" s="140">
        <f aca="true" t="shared" si="44" ref="L149:L164">SUM(M149:Q149)</f>
        <v>190000</v>
      </c>
      <c r="M149" s="140">
        <v>190000</v>
      </c>
      <c r="N149" s="140"/>
      <c r="O149" s="140"/>
      <c r="P149" s="140"/>
      <c r="Q149" s="140"/>
      <c r="R149" s="140"/>
      <c r="S149" s="131"/>
      <c r="T149" s="131"/>
      <c r="U149" s="131"/>
      <c r="V149" s="131"/>
    </row>
    <row r="150" spans="1:22" s="95" customFormat="1" ht="21.75" customHeight="1">
      <c r="A150" s="146" t="s">
        <v>4</v>
      </c>
      <c r="B150" s="134" t="s">
        <v>358</v>
      </c>
      <c r="C150" s="153"/>
      <c r="D150" s="153"/>
      <c r="E150" s="153"/>
      <c r="F150" s="153"/>
      <c r="G150" s="140">
        <f>H150+L150+R150</f>
        <v>88320</v>
      </c>
      <c r="H150" s="140">
        <f>SUM(I150:K150)</f>
        <v>0</v>
      </c>
      <c r="I150" s="140"/>
      <c r="J150" s="140"/>
      <c r="K150" s="140"/>
      <c r="L150" s="140">
        <f>SUM(M150:Q150)</f>
        <v>88320</v>
      </c>
      <c r="M150" s="140">
        <v>88320</v>
      </c>
      <c r="N150" s="140"/>
      <c r="O150" s="140"/>
      <c r="P150" s="140"/>
      <c r="Q150" s="140"/>
      <c r="R150" s="140"/>
      <c r="S150" s="131"/>
      <c r="T150" s="131"/>
      <c r="U150" s="131"/>
      <c r="V150" s="131"/>
    </row>
    <row r="151" spans="1:22" s="95" customFormat="1" ht="21" customHeight="1">
      <c r="A151" s="146" t="s">
        <v>4</v>
      </c>
      <c r="B151" s="134" t="s">
        <v>357</v>
      </c>
      <c r="C151" s="153"/>
      <c r="D151" s="153"/>
      <c r="E151" s="153"/>
      <c r="F151" s="153"/>
      <c r="G151" s="140">
        <f>H151+L151+R151</f>
        <v>40000</v>
      </c>
      <c r="H151" s="140">
        <f>SUM(I151:K151)</f>
        <v>0</v>
      </c>
      <c r="I151" s="140"/>
      <c r="J151" s="140"/>
      <c r="K151" s="140"/>
      <c r="L151" s="140">
        <f>SUM(M151:Q151)</f>
        <v>40000</v>
      </c>
      <c r="M151" s="140">
        <v>40000</v>
      </c>
      <c r="N151" s="140"/>
      <c r="O151" s="140"/>
      <c r="P151" s="140"/>
      <c r="Q151" s="140"/>
      <c r="R151" s="140"/>
      <c r="S151" s="131"/>
      <c r="T151" s="131"/>
      <c r="U151" s="131"/>
      <c r="V151" s="131"/>
    </row>
    <row r="152" spans="1:22" s="95" customFormat="1" ht="21.75" customHeight="1">
      <c r="A152" s="146" t="s">
        <v>4</v>
      </c>
      <c r="B152" s="134" t="s">
        <v>523</v>
      </c>
      <c r="C152" s="153"/>
      <c r="D152" s="153"/>
      <c r="E152" s="153" t="s">
        <v>126</v>
      </c>
      <c r="F152" s="153"/>
      <c r="G152" s="140">
        <f>H152+L152+R152</f>
        <v>200000</v>
      </c>
      <c r="H152" s="140">
        <f>SUM(I152:K152)</f>
        <v>0</v>
      </c>
      <c r="I152" s="140"/>
      <c r="J152" s="140"/>
      <c r="K152" s="140"/>
      <c r="L152" s="140">
        <f>SUM(M152:Q152)</f>
        <v>200000</v>
      </c>
      <c r="M152" s="140"/>
      <c r="N152" s="140">
        <v>200000</v>
      </c>
      <c r="O152" s="140"/>
      <c r="P152" s="140"/>
      <c r="Q152" s="140"/>
      <c r="R152" s="140"/>
      <c r="S152" s="131"/>
      <c r="T152" s="131"/>
      <c r="U152" s="131"/>
      <c r="V152" s="131"/>
    </row>
    <row r="153" spans="1:22" s="95" customFormat="1" ht="21.75" customHeight="1">
      <c r="A153" s="146" t="s">
        <v>4</v>
      </c>
      <c r="B153" s="134" t="s">
        <v>70</v>
      </c>
      <c r="C153" s="153"/>
      <c r="D153" s="153"/>
      <c r="E153" s="153"/>
      <c r="F153" s="153"/>
      <c r="G153" s="140">
        <f t="shared" si="42"/>
        <v>100000</v>
      </c>
      <c r="H153" s="140">
        <f t="shared" si="43"/>
        <v>0</v>
      </c>
      <c r="I153" s="140"/>
      <c r="J153" s="140"/>
      <c r="K153" s="140"/>
      <c r="L153" s="140">
        <f t="shared" si="44"/>
        <v>100000</v>
      </c>
      <c r="M153" s="140"/>
      <c r="N153" s="140">
        <v>100000</v>
      </c>
      <c r="O153" s="140"/>
      <c r="P153" s="140"/>
      <c r="Q153" s="140"/>
      <c r="R153" s="140"/>
      <c r="S153" s="131"/>
      <c r="T153" s="131"/>
      <c r="U153" s="131"/>
      <c r="V153" s="131"/>
    </row>
    <row r="154" spans="1:22" s="95" customFormat="1" ht="20.25" customHeight="1">
      <c r="A154" s="146" t="s">
        <v>4</v>
      </c>
      <c r="B154" s="134" t="s">
        <v>71</v>
      </c>
      <c r="C154" s="153"/>
      <c r="D154" s="153"/>
      <c r="E154" s="153"/>
      <c r="F154" s="153"/>
      <c r="G154" s="140">
        <f t="shared" si="42"/>
        <v>300000</v>
      </c>
      <c r="H154" s="140">
        <f t="shared" si="43"/>
        <v>0</v>
      </c>
      <c r="I154" s="140"/>
      <c r="J154" s="140"/>
      <c r="K154" s="140"/>
      <c r="L154" s="140">
        <f t="shared" si="44"/>
        <v>300000</v>
      </c>
      <c r="M154" s="140"/>
      <c r="N154" s="140">
        <v>300000</v>
      </c>
      <c r="O154" s="140"/>
      <c r="P154" s="140"/>
      <c r="Q154" s="140"/>
      <c r="R154" s="140"/>
      <c r="S154" s="131"/>
      <c r="T154" s="131"/>
      <c r="U154" s="131"/>
      <c r="V154" s="131"/>
    </row>
    <row r="155" spans="1:22" s="95" customFormat="1" ht="20.25" customHeight="1">
      <c r="A155" s="146" t="s">
        <v>4</v>
      </c>
      <c r="B155" s="134" t="s">
        <v>276</v>
      </c>
      <c r="C155" s="153"/>
      <c r="D155" s="153"/>
      <c r="E155" s="153"/>
      <c r="F155" s="153"/>
      <c r="G155" s="140">
        <f t="shared" si="42"/>
        <v>150000</v>
      </c>
      <c r="H155" s="140">
        <f t="shared" si="43"/>
        <v>0</v>
      </c>
      <c r="I155" s="140"/>
      <c r="J155" s="140"/>
      <c r="K155" s="140"/>
      <c r="L155" s="140">
        <f t="shared" si="44"/>
        <v>150000</v>
      </c>
      <c r="M155" s="140"/>
      <c r="N155" s="140">
        <v>150000</v>
      </c>
      <c r="O155" s="140"/>
      <c r="P155" s="140"/>
      <c r="Q155" s="140"/>
      <c r="R155" s="140"/>
      <c r="S155" s="131"/>
      <c r="T155" s="131"/>
      <c r="U155" s="131"/>
      <c r="V155" s="131"/>
    </row>
    <row r="156" spans="1:22" s="95" customFormat="1" ht="20.25" customHeight="1">
      <c r="A156" s="146" t="s">
        <v>4</v>
      </c>
      <c r="B156" s="134" t="s">
        <v>275</v>
      </c>
      <c r="C156" s="153"/>
      <c r="D156" s="153"/>
      <c r="E156" s="153"/>
      <c r="F156" s="153"/>
      <c r="G156" s="140">
        <f>H156+L156+R156</f>
        <v>80000</v>
      </c>
      <c r="H156" s="140">
        <f>SUM(I156:K156)</f>
        <v>0</v>
      </c>
      <c r="I156" s="140"/>
      <c r="J156" s="140"/>
      <c r="K156" s="140"/>
      <c r="L156" s="140">
        <f>SUM(M156:Q156)</f>
        <v>80000</v>
      </c>
      <c r="M156" s="140"/>
      <c r="N156" s="140">
        <v>80000</v>
      </c>
      <c r="O156" s="140"/>
      <c r="P156" s="140"/>
      <c r="Q156" s="140"/>
      <c r="R156" s="140"/>
      <c r="S156" s="131"/>
      <c r="T156" s="131"/>
      <c r="U156" s="131"/>
      <c r="V156" s="131"/>
    </row>
    <row r="157" spans="1:22" s="95" customFormat="1" ht="35.25" customHeight="1">
      <c r="A157" s="146" t="s">
        <v>4</v>
      </c>
      <c r="B157" s="134" t="s">
        <v>404</v>
      </c>
      <c r="C157" s="153"/>
      <c r="D157" s="153"/>
      <c r="E157" s="153"/>
      <c r="F157" s="153"/>
      <c r="G157" s="140">
        <f>H157+L157+R157</f>
        <v>250000</v>
      </c>
      <c r="H157" s="140">
        <f t="shared" si="43"/>
        <v>0</v>
      </c>
      <c r="I157" s="140"/>
      <c r="J157" s="140"/>
      <c r="K157" s="140"/>
      <c r="L157" s="140">
        <f t="shared" si="44"/>
        <v>250000</v>
      </c>
      <c r="M157" s="140"/>
      <c r="N157" s="140">
        <v>250000</v>
      </c>
      <c r="O157" s="140"/>
      <c r="P157" s="140"/>
      <c r="Q157" s="140"/>
      <c r="R157" s="140"/>
      <c r="S157" s="131"/>
      <c r="T157" s="131"/>
      <c r="U157" s="131"/>
      <c r="V157" s="131"/>
    </row>
    <row r="158" spans="1:22" s="95" customFormat="1" ht="21" customHeight="1">
      <c r="A158" s="146" t="s">
        <v>4</v>
      </c>
      <c r="B158" s="134" t="s">
        <v>72</v>
      </c>
      <c r="C158" s="153"/>
      <c r="D158" s="153"/>
      <c r="E158" s="153"/>
      <c r="F158" s="153"/>
      <c r="G158" s="140">
        <f t="shared" si="42"/>
        <v>120000</v>
      </c>
      <c r="H158" s="140">
        <f t="shared" si="43"/>
        <v>0</v>
      </c>
      <c r="I158" s="140"/>
      <c r="J158" s="140"/>
      <c r="K158" s="140"/>
      <c r="L158" s="140">
        <f t="shared" si="44"/>
        <v>120000</v>
      </c>
      <c r="M158" s="140"/>
      <c r="N158" s="140">
        <v>120000</v>
      </c>
      <c r="O158" s="140"/>
      <c r="P158" s="140"/>
      <c r="Q158" s="140"/>
      <c r="R158" s="140"/>
      <c r="S158" s="131"/>
      <c r="T158" s="131"/>
      <c r="U158" s="131"/>
      <c r="V158" s="131"/>
    </row>
    <row r="159" spans="1:22" s="95" customFormat="1" ht="33.75" customHeight="1">
      <c r="A159" s="146" t="s">
        <v>4</v>
      </c>
      <c r="B159" s="134" t="s">
        <v>304</v>
      </c>
      <c r="C159" s="153"/>
      <c r="D159" s="153"/>
      <c r="E159" s="153"/>
      <c r="F159" s="153"/>
      <c r="G159" s="140">
        <f t="shared" si="42"/>
        <v>250000</v>
      </c>
      <c r="H159" s="140">
        <f t="shared" si="43"/>
        <v>0</v>
      </c>
      <c r="I159" s="140"/>
      <c r="J159" s="140"/>
      <c r="K159" s="140"/>
      <c r="L159" s="140">
        <f t="shared" si="44"/>
        <v>250000</v>
      </c>
      <c r="M159" s="140"/>
      <c r="N159" s="140">
        <v>250000</v>
      </c>
      <c r="O159" s="140"/>
      <c r="P159" s="140"/>
      <c r="Q159" s="140"/>
      <c r="R159" s="140"/>
      <c r="S159" s="131"/>
      <c r="T159" s="131"/>
      <c r="U159" s="131"/>
      <c r="V159" s="131"/>
    </row>
    <row r="160" spans="1:22" s="95" customFormat="1" ht="20.25" customHeight="1">
      <c r="A160" s="146" t="s">
        <v>4</v>
      </c>
      <c r="B160" s="134" t="s">
        <v>73</v>
      </c>
      <c r="C160" s="153"/>
      <c r="D160" s="153"/>
      <c r="E160" s="153"/>
      <c r="F160" s="153"/>
      <c r="G160" s="140">
        <f t="shared" si="42"/>
        <v>150000</v>
      </c>
      <c r="H160" s="140">
        <f t="shared" si="43"/>
        <v>0</v>
      </c>
      <c r="I160" s="140"/>
      <c r="J160" s="140"/>
      <c r="K160" s="140"/>
      <c r="L160" s="140">
        <f t="shared" si="44"/>
        <v>150000</v>
      </c>
      <c r="M160" s="140"/>
      <c r="N160" s="140">
        <v>150000</v>
      </c>
      <c r="O160" s="140"/>
      <c r="P160" s="140"/>
      <c r="Q160" s="140"/>
      <c r="R160" s="140"/>
      <c r="S160" s="131"/>
      <c r="T160" s="131"/>
      <c r="U160" s="131"/>
      <c r="V160" s="131"/>
    </row>
    <row r="161" spans="1:22" s="95" customFormat="1" ht="32.25" customHeight="1">
      <c r="A161" s="146" t="s">
        <v>4</v>
      </c>
      <c r="B161" s="134" t="s">
        <v>524</v>
      </c>
      <c r="C161" s="153"/>
      <c r="D161" s="153"/>
      <c r="E161" s="153"/>
      <c r="F161" s="153"/>
      <c r="G161" s="140">
        <f t="shared" si="42"/>
        <v>100000</v>
      </c>
      <c r="H161" s="140">
        <f t="shared" si="43"/>
        <v>0</v>
      </c>
      <c r="I161" s="140"/>
      <c r="J161" s="140"/>
      <c r="K161" s="140"/>
      <c r="L161" s="140">
        <f t="shared" si="44"/>
        <v>100000</v>
      </c>
      <c r="M161" s="140"/>
      <c r="N161" s="140">
        <v>100000</v>
      </c>
      <c r="O161" s="140"/>
      <c r="P161" s="140"/>
      <c r="Q161" s="140"/>
      <c r="R161" s="140"/>
      <c r="S161" s="131"/>
      <c r="T161" s="131"/>
      <c r="U161" s="131"/>
      <c r="V161" s="131"/>
    </row>
    <row r="162" spans="1:22" s="95" customFormat="1" ht="32.25" customHeight="1">
      <c r="A162" s="139" t="s">
        <v>284</v>
      </c>
      <c r="B162" s="134" t="s">
        <v>301</v>
      </c>
      <c r="C162" s="153"/>
      <c r="D162" s="153"/>
      <c r="E162" s="153"/>
      <c r="F162" s="153"/>
      <c r="G162" s="140">
        <f t="shared" si="42"/>
        <v>100000</v>
      </c>
      <c r="H162" s="140">
        <f t="shared" si="43"/>
        <v>0</v>
      </c>
      <c r="I162" s="140"/>
      <c r="J162" s="140"/>
      <c r="K162" s="140"/>
      <c r="L162" s="140">
        <f t="shared" si="44"/>
        <v>100000</v>
      </c>
      <c r="M162" s="140"/>
      <c r="N162" s="140"/>
      <c r="O162" s="140"/>
      <c r="P162" s="140">
        <v>100000</v>
      </c>
      <c r="Q162" s="140"/>
      <c r="R162" s="140"/>
      <c r="S162" s="131"/>
      <c r="T162" s="131"/>
      <c r="U162" s="131"/>
      <c r="V162" s="131"/>
    </row>
    <row r="163" spans="1:22" s="95" customFormat="1" ht="22.5" customHeight="1">
      <c r="A163" s="155" t="s">
        <v>285</v>
      </c>
      <c r="B163" s="167" t="s">
        <v>479</v>
      </c>
      <c r="C163" s="168"/>
      <c r="D163" s="168"/>
      <c r="E163" s="168"/>
      <c r="F163" s="168"/>
      <c r="G163" s="144">
        <f t="shared" si="42"/>
        <v>135000</v>
      </c>
      <c r="H163" s="144">
        <f>SUM(I163:K163)</f>
        <v>0</v>
      </c>
      <c r="I163" s="144"/>
      <c r="J163" s="144"/>
      <c r="K163" s="144"/>
      <c r="L163" s="144">
        <f>SUM(M163:Q163)</f>
        <v>135000</v>
      </c>
      <c r="M163" s="144"/>
      <c r="N163" s="144">
        <v>135000</v>
      </c>
      <c r="O163" s="144"/>
      <c r="P163" s="144"/>
      <c r="Q163" s="144"/>
      <c r="R163" s="144"/>
      <c r="S163" s="131"/>
      <c r="T163" s="131"/>
      <c r="U163" s="131"/>
      <c r="V163" s="131"/>
    </row>
    <row r="164" spans="1:18" s="10" customFormat="1" ht="24" customHeight="1">
      <c r="A164" s="155" t="s">
        <v>286</v>
      </c>
      <c r="B164" s="167" t="s">
        <v>277</v>
      </c>
      <c r="C164" s="168"/>
      <c r="D164" s="168"/>
      <c r="E164" s="168"/>
      <c r="F164" s="168"/>
      <c r="G164" s="144">
        <f>7950000+135000-G163-G162-G147</f>
        <v>114180</v>
      </c>
      <c r="H164" s="144">
        <f t="shared" si="43"/>
        <v>0</v>
      </c>
      <c r="I164" s="144"/>
      <c r="J164" s="144"/>
      <c r="K164" s="144"/>
      <c r="L164" s="144">
        <f t="shared" si="44"/>
        <v>0</v>
      </c>
      <c r="M164" s="144"/>
      <c r="N164" s="144"/>
      <c r="O164" s="144"/>
      <c r="P164" s="144"/>
      <c r="Q164" s="144"/>
      <c r="R164" s="144"/>
    </row>
    <row r="165" spans="1:18" s="10" customFormat="1" ht="21" customHeight="1">
      <c r="A165" s="155">
        <v>2</v>
      </c>
      <c r="B165" s="171" t="s">
        <v>478</v>
      </c>
      <c r="C165" s="168">
        <f>C166+C178+C179+C180+C182+C183+C184+C185+C188+C189+C190+C191+C192+C195+C216</f>
        <v>91</v>
      </c>
      <c r="D165" s="168">
        <f>D166+D178+D179+D180+D182+D183+D184+D185+D188+D189+D190+D191+D192+D195+D216</f>
        <v>0</v>
      </c>
      <c r="E165" s="168">
        <f>E166+E178+E179+E180+E182+E183+E184+E185+E188+E189+E190+E191+E192+E195+E216</f>
        <v>83</v>
      </c>
      <c r="F165" s="168">
        <f>F166+F178+F179+F180+F182+F183+F184+F185+F188+F189+F190+F191+F192+F195+F216</f>
        <v>8</v>
      </c>
      <c r="G165" s="144">
        <f aca="true" t="shared" si="45" ref="G165:Q165">G166+G178+G179+G180+G182+G183+G184+G185+G188+G189+G190+G191+G192+G194+G195+G196+G206+G216</f>
        <v>17032000</v>
      </c>
      <c r="H165" s="144">
        <f t="shared" si="45"/>
        <v>12005000</v>
      </c>
      <c r="I165" s="144">
        <f t="shared" si="45"/>
        <v>9958000</v>
      </c>
      <c r="J165" s="144">
        <f t="shared" si="45"/>
        <v>1777000</v>
      </c>
      <c r="K165" s="144">
        <f t="shared" si="45"/>
        <v>270000</v>
      </c>
      <c r="L165" s="144">
        <f t="shared" si="45"/>
        <v>4769280</v>
      </c>
      <c r="M165" s="144">
        <f t="shared" si="45"/>
        <v>132480</v>
      </c>
      <c r="N165" s="144">
        <f t="shared" si="45"/>
        <v>2906000</v>
      </c>
      <c r="O165" s="144">
        <f t="shared" si="45"/>
        <v>1211000</v>
      </c>
      <c r="P165" s="144">
        <f t="shared" si="45"/>
        <v>519800</v>
      </c>
      <c r="Q165" s="144">
        <f t="shared" si="45"/>
        <v>0</v>
      </c>
      <c r="R165" s="144">
        <f>+R166+R178+R179+R180+R182+R183+R184+R185+R188+R189+R190+R191+R192+R195+R216</f>
        <v>0</v>
      </c>
    </row>
    <row r="166" spans="1:22" s="95" customFormat="1" ht="21.75" customHeight="1">
      <c r="A166" s="155" t="s">
        <v>75</v>
      </c>
      <c r="B166" s="156" t="s">
        <v>76</v>
      </c>
      <c r="C166" s="168">
        <f>SUM(D166:F166)</f>
        <v>24</v>
      </c>
      <c r="D166" s="168"/>
      <c r="E166" s="168">
        <v>18</v>
      </c>
      <c r="F166" s="168">
        <v>6</v>
      </c>
      <c r="G166" s="144">
        <f aca="true" t="shared" si="46" ref="G166:R166">SUM(G167:G177)</f>
        <v>5891160</v>
      </c>
      <c r="H166" s="144">
        <f t="shared" si="46"/>
        <v>3149000</v>
      </c>
      <c r="I166" s="144">
        <f t="shared" si="46"/>
        <v>2600000</v>
      </c>
      <c r="J166" s="144">
        <f t="shared" si="46"/>
        <v>504000</v>
      </c>
      <c r="K166" s="144">
        <f t="shared" si="46"/>
        <v>45000</v>
      </c>
      <c r="L166" s="144">
        <f t="shared" si="46"/>
        <v>2742160</v>
      </c>
      <c r="M166" s="144">
        <f t="shared" si="46"/>
        <v>44160</v>
      </c>
      <c r="N166" s="144">
        <f>SUM(N167:N177)</f>
        <v>1738000</v>
      </c>
      <c r="O166" s="144">
        <f t="shared" si="46"/>
        <v>940000</v>
      </c>
      <c r="P166" s="144">
        <f t="shared" si="46"/>
        <v>20000</v>
      </c>
      <c r="Q166" s="144">
        <f t="shared" si="46"/>
        <v>0</v>
      </c>
      <c r="R166" s="144">
        <f t="shared" si="46"/>
        <v>0</v>
      </c>
      <c r="S166" s="131"/>
      <c r="T166" s="131"/>
      <c r="U166" s="131"/>
      <c r="V166" s="131"/>
    </row>
    <row r="167" spans="1:22" s="93" customFormat="1" ht="21" customHeight="1">
      <c r="A167" s="146" t="s">
        <v>4</v>
      </c>
      <c r="B167" s="147" t="s">
        <v>525</v>
      </c>
      <c r="C167" s="153">
        <f>SUM(D167:F167)</f>
        <v>24</v>
      </c>
      <c r="D167" s="153"/>
      <c r="E167" s="153">
        <v>18</v>
      </c>
      <c r="F167" s="153">
        <v>6</v>
      </c>
      <c r="G167" s="140">
        <f aca="true" t="shared" si="47" ref="G167:G204">H167+L167+R167</f>
        <v>3189000</v>
      </c>
      <c r="H167" s="138">
        <f>SUM(I167:K167)</f>
        <v>3149000</v>
      </c>
      <c r="I167" s="140">
        <v>2600000</v>
      </c>
      <c r="J167" s="140">
        <f>C167*21000</f>
        <v>504000</v>
      </c>
      <c r="K167" s="140">
        <v>45000</v>
      </c>
      <c r="L167" s="140">
        <f aca="true" t="shared" si="48" ref="L167:L191">SUM(M167:Q167)</f>
        <v>40000</v>
      </c>
      <c r="M167" s="140"/>
      <c r="N167" s="140"/>
      <c r="O167" s="140">
        <v>20000</v>
      </c>
      <c r="P167" s="140">
        <v>20000</v>
      </c>
      <c r="Q167" s="140"/>
      <c r="R167" s="140"/>
      <c r="S167" s="130"/>
      <c r="T167" s="130"/>
      <c r="U167" s="130"/>
      <c r="V167" s="130"/>
    </row>
    <row r="168" spans="1:22" s="95" customFormat="1" ht="21" customHeight="1">
      <c r="A168" s="146" t="s">
        <v>4</v>
      </c>
      <c r="B168" s="134" t="s">
        <v>71</v>
      </c>
      <c r="C168" s="153"/>
      <c r="D168" s="153"/>
      <c r="E168" s="153"/>
      <c r="F168" s="153"/>
      <c r="G168" s="140">
        <f>H168+L168+R168</f>
        <v>350000</v>
      </c>
      <c r="H168" s="140">
        <f aca="true" t="shared" si="49" ref="H168:H180">SUM(I168:K168)</f>
        <v>0</v>
      </c>
      <c r="I168" s="140"/>
      <c r="J168" s="140"/>
      <c r="K168" s="140"/>
      <c r="L168" s="140">
        <f t="shared" si="48"/>
        <v>350000</v>
      </c>
      <c r="M168" s="140"/>
      <c r="N168" s="140">
        <v>350000</v>
      </c>
      <c r="O168" s="140"/>
      <c r="P168" s="140"/>
      <c r="Q168" s="140"/>
      <c r="R168" s="140"/>
      <c r="S168" s="131"/>
      <c r="T168" s="131"/>
      <c r="U168" s="131"/>
      <c r="V168" s="131"/>
    </row>
    <row r="169" spans="1:22" s="95" customFormat="1" ht="30.75" customHeight="1">
      <c r="A169" s="146" t="s">
        <v>4</v>
      </c>
      <c r="B169" s="134" t="s">
        <v>526</v>
      </c>
      <c r="C169" s="153"/>
      <c r="D169" s="153"/>
      <c r="E169" s="153"/>
      <c r="F169" s="153"/>
      <c r="G169" s="140">
        <f t="shared" si="47"/>
        <v>107000</v>
      </c>
      <c r="H169" s="140">
        <f>SUM(I169:K169)</f>
        <v>0</v>
      </c>
      <c r="I169" s="140"/>
      <c r="J169" s="140"/>
      <c r="K169" s="140"/>
      <c r="L169" s="140">
        <f t="shared" si="48"/>
        <v>107000</v>
      </c>
      <c r="M169" s="140"/>
      <c r="N169" s="140">
        <v>107000</v>
      </c>
      <c r="O169" s="140"/>
      <c r="P169" s="140"/>
      <c r="Q169" s="140"/>
      <c r="R169" s="140"/>
      <c r="S169" s="131"/>
      <c r="T169" s="131"/>
      <c r="U169" s="131"/>
      <c r="V169" s="131"/>
    </row>
    <row r="170" spans="1:22" s="95" customFormat="1" ht="20.25" customHeight="1">
      <c r="A170" s="146" t="s">
        <v>4</v>
      </c>
      <c r="B170" s="134" t="s">
        <v>275</v>
      </c>
      <c r="C170" s="153" t="s">
        <v>126</v>
      </c>
      <c r="D170" s="153"/>
      <c r="E170" s="153"/>
      <c r="F170" s="153"/>
      <c r="G170" s="140">
        <f t="shared" si="47"/>
        <v>250000</v>
      </c>
      <c r="H170" s="140">
        <f>SUM(I170:K170)</f>
        <v>0</v>
      </c>
      <c r="I170" s="140"/>
      <c r="J170" s="140"/>
      <c r="K170" s="140"/>
      <c r="L170" s="140">
        <f t="shared" si="48"/>
        <v>250000</v>
      </c>
      <c r="M170" s="140"/>
      <c r="N170" s="140">
        <v>250000</v>
      </c>
      <c r="O170" s="140"/>
      <c r="P170" s="140"/>
      <c r="Q170" s="140"/>
      <c r="R170" s="140"/>
      <c r="S170" s="131"/>
      <c r="T170" s="131"/>
      <c r="U170" s="131"/>
      <c r="V170" s="131"/>
    </row>
    <row r="171" spans="1:22" s="95" customFormat="1" ht="22.5" customHeight="1">
      <c r="A171" s="146" t="s">
        <v>4</v>
      </c>
      <c r="B171" s="134" t="s">
        <v>276</v>
      </c>
      <c r="C171" s="153"/>
      <c r="D171" s="153"/>
      <c r="E171" s="153"/>
      <c r="F171" s="153"/>
      <c r="G171" s="140">
        <f t="shared" si="47"/>
        <v>200000</v>
      </c>
      <c r="H171" s="140">
        <f t="shared" si="49"/>
        <v>0</v>
      </c>
      <c r="I171" s="140"/>
      <c r="J171" s="140"/>
      <c r="K171" s="140"/>
      <c r="L171" s="140">
        <f t="shared" si="48"/>
        <v>200000</v>
      </c>
      <c r="M171" s="140"/>
      <c r="N171" s="140">
        <v>200000</v>
      </c>
      <c r="O171" s="140"/>
      <c r="P171" s="140"/>
      <c r="Q171" s="140"/>
      <c r="R171" s="140"/>
      <c r="S171" s="131"/>
      <c r="T171" s="131"/>
      <c r="U171" s="131"/>
      <c r="V171" s="131"/>
    </row>
    <row r="172" spans="1:22" s="95" customFormat="1" ht="33.75" customHeight="1">
      <c r="A172" s="146" t="s">
        <v>4</v>
      </c>
      <c r="B172" s="134" t="s">
        <v>304</v>
      </c>
      <c r="C172" s="153"/>
      <c r="D172" s="153"/>
      <c r="E172" s="153"/>
      <c r="F172" s="153"/>
      <c r="G172" s="140">
        <f t="shared" si="47"/>
        <v>350000</v>
      </c>
      <c r="H172" s="140">
        <f t="shared" si="49"/>
        <v>0</v>
      </c>
      <c r="I172" s="140"/>
      <c r="J172" s="140"/>
      <c r="K172" s="140"/>
      <c r="L172" s="140">
        <f>SUM(M172:Q172)</f>
        <v>350000</v>
      </c>
      <c r="M172" s="140"/>
      <c r="N172" s="140"/>
      <c r="O172" s="140">
        <v>350000</v>
      </c>
      <c r="P172" s="140"/>
      <c r="Q172" s="140"/>
      <c r="R172" s="140"/>
      <c r="S172" s="131"/>
      <c r="T172" s="131"/>
      <c r="U172" s="131"/>
      <c r="V172" s="131"/>
    </row>
    <row r="173" spans="1:22" s="95" customFormat="1" ht="22.5" customHeight="1">
      <c r="A173" s="146" t="s">
        <v>4</v>
      </c>
      <c r="B173" s="134" t="s">
        <v>334</v>
      </c>
      <c r="C173" s="153"/>
      <c r="D173" s="153"/>
      <c r="E173" s="153"/>
      <c r="F173" s="153"/>
      <c r="G173" s="140">
        <f>H173+L173+R173</f>
        <v>570000</v>
      </c>
      <c r="H173" s="140">
        <f>SUM(I173:K173)</f>
        <v>0</v>
      </c>
      <c r="I173" s="140"/>
      <c r="J173" s="140"/>
      <c r="K173" s="140"/>
      <c r="L173" s="140">
        <f>SUM(M173:Q173)</f>
        <v>570000</v>
      </c>
      <c r="M173" s="140"/>
      <c r="N173" s="140"/>
      <c r="O173" s="140">
        <v>570000</v>
      </c>
      <c r="P173" s="140"/>
      <c r="Q173" s="140"/>
      <c r="R173" s="140"/>
      <c r="S173" s="131"/>
      <c r="T173" s="131"/>
      <c r="U173" s="131"/>
      <c r="V173" s="131"/>
    </row>
    <row r="174" spans="1:22" s="93" customFormat="1" ht="21" customHeight="1">
      <c r="A174" s="146" t="s">
        <v>4</v>
      </c>
      <c r="B174" s="134" t="s">
        <v>482</v>
      </c>
      <c r="C174" s="151"/>
      <c r="D174" s="153"/>
      <c r="E174" s="153"/>
      <c r="F174" s="153"/>
      <c r="G174" s="140">
        <f>H174+L174+R174</f>
        <v>120000</v>
      </c>
      <c r="H174" s="140">
        <f>SUM(I174:K174)</f>
        <v>0</v>
      </c>
      <c r="I174" s="140"/>
      <c r="J174" s="140"/>
      <c r="K174" s="140"/>
      <c r="L174" s="140">
        <f>SUM(M174:Q174)</f>
        <v>120000</v>
      </c>
      <c r="M174" s="140"/>
      <c r="N174" s="140">
        <f>2*60000</f>
        <v>120000</v>
      </c>
      <c r="O174" s="140"/>
      <c r="P174" s="140"/>
      <c r="Q174" s="140"/>
      <c r="R174" s="140"/>
      <c r="S174" s="130"/>
      <c r="T174" s="130"/>
      <c r="U174" s="130"/>
      <c r="V174" s="130"/>
    </row>
    <row r="175" spans="1:22" s="93" customFormat="1" ht="20.25" customHeight="1">
      <c r="A175" s="146" t="s">
        <v>4</v>
      </c>
      <c r="B175" s="147" t="s">
        <v>313</v>
      </c>
      <c r="C175" s="151"/>
      <c r="D175" s="153"/>
      <c r="E175" s="153"/>
      <c r="F175" s="153"/>
      <c r="G175" s="140">
        <f>H175+L175+R175</f>
        <v>44160</v>
      </c>
      <c r="H175" s="140">
        <f>SUM(I175:K175)</f>
        <v>0</v>
      </c>
      <c r="I175" s="140"/>
      <c r="J175" s="140"/>
      <c r="K175" s="140"/>
      <c r="L175" s="140">
        <f>SUM(M175:Q175)</f>
        <v>44160</v>
      </c>
      <c r="M175" s="140">
        <f>3.2*1150*12</f>
        <v>44160</v>
      </c>
      <c r="N175" s="140"/>
      <c r="O175" s="140"/>
      <c r="P175" s="140"/>
      <c r="Q175" s="140"/>
      <c r="R175" s="140"/>
      <c r="S175" s="130"/>
      <c r="T175" s="130"/>
      <c r="U175" s="130"/>
      <c r="V175" s="130"/>
    </row>
    <row r="176" spans="1:22" s="93" customFormat="1" ht="21" customHeight="1">
      <c r="A176" s="146" t="s">
        <v>4</v>
      </c>
      <c r="B176" s="147" t="s">
        <v>78</v>
      </c>
      <c r="C176" s="151"/>
      <c r="D176" s="153"/>
      <c r="E176" s="153"/>
      <c r="F176" s="153"/>
      <c r="G176" s="140">
        <f t="shared" si="47"/>
        <v>545000</v>
      </c>
      <c r="H176" s="140">
        <f t="shared" si="49"/>
        <v>0</v>
      </c>
      <c r="I176" s="140"/>
      <c r="J176" s="140"/>
      <c r="K176" s="140"/>
      <c r="L176" s="140">
        <f t="shared" si="48"/>
        <v>545000</v>
      </c>
      <c r="M176" s="140"/>
      <c r="N176" s="140">
        <v>545000</v>
      </c>
      <c r="O176" s="140"/>
      <c r="P176" s="140"/>
      <c r="Q176" s="140"/>
      <c r="R176" s="140"/>
      <c r="S176" s="130"/>
      <c r="T176" s="130"/>
      <c r="U176" s="130"/>
      <c r="V176" s="130"/>
    </row>
    <row r="177" spans="1:22" s="93" customFormat="1" ht="21" customHeight="1">
      <c r="A177" s="146" t="s">
        <v>4</v>
      </c>
      <c r="B177" s="147" t="s">
        <v>79</v>
      </c>
      <c r="C177" s="151"/>
      <c r="D177" s="153"/>
      <c r="E177" s="153"/>
      <c r="F177" s="153"/>
      <c r="G177" s="140">
        <f t="shared" si="47"/>
        <v>166000</v>
      </c>
      <c r="H177" s="140">
        <f>SUM(I177:K177)</f>
        <v>0</v>
      </c>
      <c r="I177" s="140"/>
      <c r="J177" s="140"/>
      <c r="K177" s="140"/>
      <c r="L177" s="140">
        <f>SUM(M177:Q177)</f>
        <v>166000</v>
      </c>
      <c r="M177" s="140"/>
      <c r="N177" s="140">
        <v>166000</v>
      </c>
      <c r="O177" s="140"/>
      <c r="P177" s="140"/>
      <c r="Q177" s="140"/>
      <c r="R177" s="140"/>
      <c r="S177" s="130"/>
      <c r="T177" s="130"/>
      <c r="U177" s="130"/>
      <c r="V177" s="130"/>
    </row>
    <row r="178" spans="1:22" s="93" customFormat="1" ht="20.25" customHeight="1">
      <c r="A178" s="139" t="s">
        <v>80</v>
      </c>
      <c r="B178" s="147" t="s">
        <v>81</v>
      </c>
      <c r="C178" s="153">
        <f>SUM(D178:F178)</f>
        <v>11</v>
      </c>
      <c r="D178" s="153"/>
      <c r="E178" s="153">
        <v>10</v>
      </c>
      <c r="F178" s="153">
        <v>1</v>
      </c>
      <c r="G178" s="140">
        <f t="shared" si="47"/>
        <v>1393000</v>
      </c>
      <c r="H178" s="140">
        <f t="shared" si="49"/>
        <v>1254000</v>
      </c>
      <c r="I178" s="140">
        <v>1020000</v>
      </c>
      <c r="J178" s="140">
        <f>C178*19000</f>
        <v>209000</v>
      </c>
      <c r="K178" s="140">
        <v>25000</v>
      </c>
      <c r="L178" s="140">
        <f t="shared" si="48"/>
        <v>139000</v>
      </c>
      <c r="M178" s="140"/>
      <c r="N178" s="140">
        <v>8000</v>
      </c>
      <c r="O178" s="140">
        <v>20000</v>
      </c>
      <c r="P178" s="140">
        <f>88200+22800</f>
        <v>111000</v>
      </c>
      <c r="Q178" s="140"/>
      <c r="R178" s="140"/>
      <c r="S178" s="130"/>
      <c r="T178" s="130"/>
      <c r="U178" s="130"/>
      <c r="V178" s="130"/>
    </row>
    <row r="179" spans="1:22" s="93" customFormat="1" ht="25.5" customHeight="1">
      <c r="A179" s="155" t="s">
        <v>82</v>
      </c>
      <c r="B179" s="156" t="s">
        <v>9</v>
      </c>
      <c r="C179" s="168">
        <f>SUM(D179:F179)</f>
        <v>6</v>
      </c>
      <c r="D179" s="168"/>
      <c r="E179" s="168">
        <v>6</v>
      </c>
      <c r="F179" s="170"/>
      <c r="G179" s="144">
        <f t="shared" si="47"/>
        <v>896700</v>
      </c>
      <c r="H179" s="144">
        <f t="shared" si="49"/>
        <v>814000</v>
      </c>
      <c r="I179" s="144">
        <v>680000</v>
      </c>
      <c r="J179" s="144">
        <f>C179*19000</f>
        <v>114000</v>
      </c>
      <c r="K179" s="144">
        <v>20000</v>
      </c>
      <c r="L179" s="144">
        <f t="shared" si="48"/>
        <v>82700</v>
      </c>
      <c r="M179" s="144"/>
      <c r="N179" s="144"/>
      <c r="O179" s="144">
        <v>60000</v>
      </c>
      <c r="P179" s="144">
        <v>22700</v>
      </c>
      <c r="Q179" s="144"/>
      <c r="R179" s="144"/>
      <c r="S179" s="130"/>
      <c r="T179" s="130"/>
      <c r="U179" s="130"/>
      <c r="V179" s="130"/>
    </row>
    <row r="180" spans="1:22" s="93" customFormat="1" ht="21.75" customHeight="1">
      <c r="A180" s="155" t="s">
        <v>83</v>
      </c>
      <c r="B180" s="156" t="s">
        <v>8</v>
      </c>
      <c r="C180" s="168">
        <f>SUM(D180:F180)</f>
        <v>3</v>
      </c>
      <c r="D180" s="168"/>
      <c r="E180" s="168">
        <v>3</v>
      </c>
      <c r="F180" s="170"/>
      <c r="G180" s="144">
        <f t="shared" si="47"/>
        <v>507000</v>
      </c>
      <c r="H180" s="144">
        <f t="shared" si="49"/>
        <v>392000</v>
      </c>
      <c r="I180" s="144">
        <v>320000</v>
      </c>
      <c r="J180" s="144">
        <f>C180*19000</f>
        <v>57000</v>
      </c>
      <c r="K180" s="144">
        <v>15000</v>
      </c>
      <c r="L180" s="144">
        <f>SUM(M180:Q180)</f>
        <v>115000</v>
      </c>
      <c r="M180" s="144">
        <f>SUM(M181)</f>
        <v>0</v>
      </c>
      <c r="N180" s="144">
        <f>SUM(N181)</f>
        <v>105000</v>
      </c>
      <c r="O180" s="144">
        <v>10000</v>
      </c>
      <c r="P180" s="144">
        <f>SUM(P181)</f>
        <v>0</v>
      </c>
      <c r="Q180" s="144">
        <f>SUM(Q181)</f>
        <v>0</v>
      </c>
      <c r="R180" s="144">
        <f>SUM(R181)</f>
        <v>0</v>
      </c>
      <c r="S180" s="130"/>
      <c r="T180" s="130"/>
      <c r="U180" s="130"/>
      <c r="V180" s="130"/>
    </row>
    <row r="181" spans="1:22" s="93" customFormat="1" ht="21" customHeight="1">
      <c r="A181" s="164" t="s">
        <v>4</v>
      </c>
      <c r="B181" s="156" t="s">
        <v>527</v>
      </c>
      <c r="C181" s="168"/>
      <c r="D181" s="168"/>
      <c r="E181" s="168"/>
      <c r="F181" s="168"/>
      <c r="G181" s="144">
        <f t="shared" si="47"/>
        <v>105000</v>
      </c>
      <c r="H181" s="144"/>
      <c r="I181" s="144"/>
      <c r="J181" s="144"/>
      <c r="K181" s="144"/>
      <c r="L181" s="144">
        <f>SUM(M181:Q181)</f>
        <v>105000</v>
      </c>
      <c r="M181" s="144"/>
      <c r="N181" s="144">
        <v>105000</v>
      </c>
      <c r="O181" s="144"/>
      <c r="P181" s="144"/>
      <c r="Q181" s="144"/>
      <c r="R181" s="144"/>
      <c r="S181" s="130"/>
      <c r="T181" s="130"/>
      <c r="U181" s="130"/>
      <c r="V181" s="130"/>
    </row>
    <row r="182" spans="1:22" s="93" customFormat="1" ht="22.5" customHeight="1">
      <c r="A182" s="155" t="s">
        <v>287</v>
      </c>
      <c r="B182" s="156" t="s">
        <v>333</v>
      </c>
      <c r="C182" s="168">
        <f>SUM(E182:F182)</f>
        <v>5</v>
      </c>
      <c r="D182" s="168"/>
      <c r="E182" s="168">
        <v>5</v>
      </c>
      <c r="F182" s="170" t="s">
        <v>67</v>
      </c>
      <c r="G182" s="144">
        <f t="shared" si="47"/>
        <v>798500</v>
      </c>
      <c r="H182" s="144">
        <f>SUM(I182:K182)</f>
        <v>765000</v>
      </c>
      <c r="I182" s="144">
        <v>650000</v>
      </c>
      <c r="J182" s="144">
        <f aca="true" t="shared" si="50" ref="J182:J191">C182*19000</f>
        <v>95000</v>
      </c>
      <c r="K182" s="144">
        <v>20000</v>
      </c>
      <c r="L182" s="144">
        <f t="shared" si="48"/>
        <v>33500</v>
      </c>
      <c r="M182" s="144"/>
      <c r="N182" s="144"/>
      <c r="O182" s="144">
        <v>10000</v>
      </c>
      <c r="P182" s="144">
        <v>23500</v>
      </c>
      <c r="Q182" s="144"/>
      <c r="R182" s="144"/>
      <c r="S182" s="130"/>
      <c r="T182" s="130"/>
      <c r="U182" s="130"/>
      <c r="V182" s="130"/>
    </row>
    <row r="183" spans="1:22" s="93" customFormat="1" ht="21.75" customHeight="1">
      <c r="A183" s="155" t="s">
        <v>288</v>
      </c>
      <c r="B183" s="156" t="s">
        <v>35</v>
      </c>
      <c r="C183" s="168">
        <f aca="true" t="shared" si="51" ref="C183:C192">SUM(D183:F183)</f>
        <v>7</v>
      </c>
      <c r="D183" s="168"/>
      <c r="E183" s="168">
        <v>7</v>
      </c>
      <c r="F183" s="170"/>
      <c r="G183" s="144">
        <f t="shared" si="47"/>
        <v>952000</v>
      </c>
      <c r="H183" s="144">
        <f>SUM(I183:K183)</f>
        <v>920400</v>
      </c>
      <c r="I183" s="144">
        <v>767400</v>
      </c>
      <c r="J183" s="144">
        <f t="shared" si="50"/>
        <v>133000</v>
      </c>
      <c r="K183" s="144">
        <v>20000</v>
      </c>
      <c r="L183" s="144">
        <f t="shared" si="48"/>
        <v>31600</v>
      </c>
      <c r="M183" s="144"/>
      <c r="N183" s="144"/>
      <c r="O183" s="144">
        <v>10000</v>
      </c>
      <c r="P183" s="144">
        <v>21600</v>
      </c>
      <c r="Q183" s="144"/>
      <c r="R183" s="144"/>
      <c r="S183" s="130"/>
      <c r="T183" s="130"/>
      <c r="U183" s="130"/>
      <c r="V183" s="130"/>
    </row>
    <row r="184" spans="1:22" s="93" customFormat="1" ht="21" customHeight="1">
      <c r="A184" s="155" t="s">
        <v>289</v>
      </c>
      <c r="B184" s="156" t="s">
        <v>85</v>
      </c>
      <c r="C184" s="168">
        <f t="shared" si="51"/>
        <v>6</v>
      </c>
      <c r="D184" s="168"/>
      <c r="E184" s="168">
        <v>6</v>
      </c>
      <c r="F184" s="170"/>
      <c r="G184" s="144">
        <f t="shared" si="47"/>
        <v>757000</v>
      </c>
      <c r="H184" s="144">
        <f aca="true" t="shared" si="52" ref="H184:H190">SUM(I184:K184)</f>
        <v>724000</v>
      </c>
      <c r="I184" s="144">
        <v>590000</v>
      </c>
      <c r="J184" s="144">
        <f t="shared" si="50"/>
        <v>114000</v>
      </c>
      <c r="K184" s="144">
        <v>20000</v>
      </c>
      <c r="L184" s="144">
        <f t="shared" si="48"/>
        <v>33000</v>
      </c>
      <c r="M184" s="144"/>
      <c r="N184" s="144"/>
      <c r="O184" s="144">
        <v>10000</v>
      </c>
      <c r="P184" s="144">
        <v>23000</v>
      </c>
      <c r="Q184" s="144"/>
      <c r="R184" s="144"/>
      <c r="S184" s="130"/>
      <c r="T184" s="130"/>
      <c r="U184" s="130"/>
      <c r="V184" s="130"/>
    </row>
    <row r="185" spans="1:22" s="93" customFormat="1" ht="21.75" customHeight="1">
      <c r="A185" s="155" t="s">
        <v>290</v>
      </c>
      <c r="B185" s="156" t="s">
        <v>484</v>
      </c>
      <c r="C185" s="168">
        <f t="shared" si="51"/>
        <v>6</v>
      </c>
      <c r="D185" s="168"/>
      <c r="E185" s="168">
        <v>6</v>
      </c>
      <c r="F185" s="170">
        <v>0</v>
      </c>
      <c r="G185" s="144">
        <f>H185+L185+R185</f>
        <v>881160</v>
      </c>
      <c r="H185" s="144">
        <f>SUM(I185:K185)</f>
        <v>794000</v>
      </c>
      <c r="I185" s="144">
        <v>660000</v>
      </c>
      <c r="J185" s="144">
        <f t="shared" si="50"/>
        <v>114000</v>
      </c>
      <c r="K185" s="144">
        <v>20000</v>
      </c>
      <c r="L185" s="144">
        <f>SUM(M185:Q185)</f>
        <v>87160</v>
      </c>
      <c r="M185" s="144">
        <f>SUM(M186:M187)</f>
        <v>44160</v>
      </c>
      <c r="N185" s="144">
        <f>SUM(N186:N187)</f>
        <v>0</v>
      </c>
      <c r="O185" s="144">
        <v>10000</v>
      </c>
      <c r="P185" s="144">
        <f>23000+10000</f>
        <v>33000</v>
      </c>
      <c r="Q185" s="144">
        <f>SUM(Q186:Q187)</f>
        <v>0</v>
      </c>
      <c r="R185" s="144"/>
      <c r="S185" s="130"/>
      <c r="T185" s="130"/>
      <c r="U185" s="130"/>
      <c r="V185" s="130"/>
    </row>
    <row r="186" spans="1:22" s="93" customFormat="1" ht="21.75" customHeight="1">
      <c r="A186" s="139" t="s">
        <v>4</v>
      </c>
      <c r="B186" s="134" t="s">
        <v>528</v>
      </c>
      <c r="C186" s="153"/>
      <c r="D186" s="153"/>
      <c r="E186" s="153"/>
      <c r="F186" s="160"/>
      <c r="G186" s="140">
        <f t="shared" si="47"/>
        <v>44160</v>
      </c>
      <c r="H186" s="140"/>
      <c r="I186" s="140"/>
      <c r="J186" s="140"/>
      <c r="K186" s="140"/>
      <c r="L186" s="140">
        <f t="shared" si="48"/>
        <v>44160</v>
      </c>
      <c r="M186" s="140">
        <v>44160</v>
      </c>
      <c r="N186" s="140"/>
      <c r="O186" s="140"/>
      <c r="P186" s="140"/>
      <c r="Q186" s="140"/>
      <c r="R186" s="140"/>
      <c r="S186" s="130"/>
      <c r="T186" s="130"/>
      <c r="U186" s="130"/>
      <c r="V186" s="130"/>
    </row>
    <row r="187" spans="1:22" s="93" customFormat="1" ht="21.75" customHeight="1">
      <c r="A187" s="155" t="s">
        <v>4</v>
      </c>
      <c r="B187" s="165" t="s">
        <v>529</v>
      </c>
      <c r="C187" s="168"/>
      <c r="D187" s="168"/>
      <c r="E187" s="168"/>
      <c r="F187" s="170"/>
      <c r="G187" s="144">
        <f t="shared" si="47"/>
        <v>10000</v>
      </c>
      <c r="H187" s="144"/>
      <c r="I187" s="144"/>
      <c r="J187" s="144"/>
      <c r="K187" s="144"/>
      <c r="L187" s="144">
        <f t="shared" si="48"/>
        <v>10000</v>
      </c>
      <c r="M187" s="144"/>
      <c r="N187" s="144"/>
      <c r="O187" s="144"/>
      <c r="P187" s="144">
        <v>10000</v>
      </c>
      <c r="Q187" s="144"/>
      <c r="R187" s="144"/>
      <c r="S187" s="130"/>
      <c r="T187" s="130"/>
      <c r="U187" s="130"/>
      <c r="V187" s="130"/>
    </row>
    <row r="188" spans="1:22" s="93" customFormat="1" ht="21.75" customHeight="1">
      <c r="A188" s="139" t="s">
        <v>291</v>
      </c>
      <c r="B188" s="147" t="s">
        <v>87</v>
      </c>
      <c r="C188" s="153">
        <f t="shared" si="51"/>
        <v>6</v>
      </c>
      <c r="D188" s="153"/>
      <c r="E188" s="153">
        <v>5</v>
      </c>
      <c r="F188" s="160">
        <v>1</v>
      </c>
      <c r="G188" s="140">
        <f t="shared" si="47"/>
        <v>826000</v>
      </c>
      <c r="H188" s="140">
        <f t="shared" si="52"/>
        <v>794600</v>
      </c>
      <c r="I188" s="140">
        <v>655600</v>
      </c>
      <c r="J188" s="140">
        <f t="shared" si="50"/>
        <v>114000</v>
      </c>
      <c r="K188" s="140">
        <v>25000</v>
      </c>
      <c r="L188" s="140">
        <f t="shared" si="48"/>
        <v>31400</v>
      </c>
      <c r="M188" s="140"/>
      <c r="N188" s="140"/>
      <c r="O188" s="140">
        <f>10000</f>
        <v>10000</v>
      </c>
      <c r="P188" s="140">
        <v>21400</v>
      </c>
      <c r="Q188" s="140"/>
      <c r="R188" s="140"/>
      <c r="S188" s="130"/>
      <c r="T188" s="130"/>
      <c r="U188" s="130"/>
      <c r="V188" s="130"/>
    </row>
    <row r="189" spans="1:22" s="93" customFormat="1" ht="22.5" customHeight="1">
      <c r="A189" s="155" t="s">
        <v>292</v>
      </c>
      <c r="B189" s="171" t="s">
        <v>485</v>
      </c>
      <c r="C189" s="168">
        <f t="shared" si="51"/>
        <v>3</v>
      </c>
      <c r="D189" s="168"/>
      <c r="E189" s="168">
        <v>3</v>
      </c>
      <c r="F189" s="170" t="s">
        <v>67</v>
      </c>
      <c r="G189" s="144">
        <f t="shared" si="47"/>
        <v>382000</v>
      </c>
      <c r="H189" s="144">
        <f t="shared" si="52"/>
        <v>372000</v>
      </c>
      <c r="I189" s="144">
        <v>300000</v>
      </c>
      <c r="J189" s="144">
        <f t="shared" si="50"/>
        <v>57000</v>
      </c>
      <c r="K189" s="144">
        <v>15000</v>
      </c>
      <c r="L189" s="144">
        <f t="shared" si="48"/>
        <v>10000</v>
      </c>
      <c r="M189" s="144"/>
      <c r="N189" s="144"/>
      <c r="O189" s="144">
        <v>10000</v>
      </c>
      <c r="P189" s="144"/>
      <c r="Q189" s="144"/>
      <c r="R189" s="144"/>
      <c r="S189" s="130"/>
      <c r="T189" s="130"/>
      <c r="U189" s="130"/>
      <c r="V189" s="130"/>
    </row>
    <row r="190" spans="1:22" s="93" customFormat="1" ht="25.5" customHeight="1">
      <c r="A190" s="155" t="s">
        <v>293</v>
      </c>
      <c r="B190" s="171" t="s">
        <v>530</v>
      </c>
      <c r="C190" s="168">
        <f t="shared" si="51"/>
        <v>4</v>
      </c>
      <c r="D190" s="168"/>
      <c r="E190" s="168">
        <v>4</v>
      </c>
      <c r="F190" s="170" t="s">
        <v>67</v>
      </c>
      <c r="G190" s="144">
        <f t="shared" si="47"/>
        <v>571000</v>
      </c>
      <c r="H190" s="144">
        <f t="shared" si="52"/>
        <v>561000</v>
      </c>
      <c r="I190" s="144">
        <v>470000</v>
      </c>
      <c r="J190" s="144">
        <f t="shared" si="50"/>
        <v>76000</v>
      </c>
      <c r="K190" s="144">
        <v>15000</v>
      </c>
      <c r="L190" s="144">
        <f t="shared" si="48"/>
        <v>10000</v>
      </c>
      <c r="M190" s="144"/>
      <c r="N190" s="144"/>
      <c r="O190" s="144">
        <v>10000</v>
      </c>
      <c r="P190" s="144"/>
      <c r="Q190" s="144"/>
      <c r="R190" s="144"/>
      <c r="S190" s="130"/>
      <c r="T190" s="130"/>
      <c r="U190" s="130"/>
      <c r="V190" s="130"/>
    </row>
    <row r="191" spans="1:22" s="93" customFormat="1" ht="25.5" customHeight="1">
      <c r="A191" s="155" t="s">
        <v>294</v>
      </c>
      <c r="B191" s="171" t="s">
        <v>50</v>
      </c>
      <c r="C191" s="168">
        <f t="shared" si="51"/>
        <v>4</v>
      </c>
      <c r="D191" s="168"/>
      <c r="E191" s="168">
        <v>4</v>
      </c>
      <c r="F191" s="170" t="s">
        <v>67</v>
      </c>
      <c r="G191" s="144">
        <f t="shared" si="47"/>
        <v>748600</v>
      </c>
      <c r="H191" s="144">
        <f>SUM(I191:K191)</f>
        <v>716000</v>
      </c>
      <c r="I191" s="144">
        <v>625000</v>
      </c>
      <c r="J191" s="144">
        <f t="shared" si="50"/>
        <v>76000</v>
      </c>
      <c r="K191" s="144">
        <v>15000</v>
      </c>
      <c r="L191" s="144">
        <f t="shared" si="48"/>
        <v>32600</v>
      </c>
      <c r="M191" s="144"/>
      <c r="N191" s="144"/>
      <c r="O191" s="144">
        <v>10000</v>
      </c>
      <c r="P191" s="144">
        <v>22600</v>
      </c>
      <c r="Q191" s="144"/>
      <c r="R191" s="144"/>
      <c r="S191" s="130"/>
      <c r="T191" s="130"/>
      <c r="U191" s="130"/>
      <c r="V191" s="130"/>
    </row>
    <row r="192" spans="1:22" s="93" customFormat="1" ht="25.5" customHeight="1">
      <c r="A192" s="155" t="s">
        <v>295</v>
      </c>
      <c r="B192" s="171" t="s">
        <v>531</v>
      </c>
      <c r="C192" s="168">
        <f t="shared" si="51"/>
        <v>6</v>
      </c>
      <c r="D192" s="168"/>
      <c r="E192" s="170">
        <v>6</v>
      </c>
      <c r="F192" s="170"/>
      <c r="G192" s="144">
        <f>H192+L192+R192</f>
        <v>829160</v>
      </c>
      <c r="H192" s="144">
        <f>SUM(I192:K192)</f>
        <v>749000</v>
      </c>
      <c r="I192" s="144">
        <v>620000</v>
      </c>
      <c r="J192" s="144">
        <f>E192*19000</f>
        <v>114000</v>
      </c>
      <c r="K192" s="144">
        <v>15000</v>
      </c>
      <c r="L192" s="144">
        <f aca="true" t="shared" si="53" ref="L192:L216">SUM(M192:Q192)</f>
        <v>80160</v>
      </c>
      <c r="M192" s="144">
        <f>M193</f>
        <v>44160</v>
      </c>
      <c r="N192" s="144">
        <f>N193</f>
        <v>5000</v>
      </c>
      <c r="O192" s="144">
        <v>10000</v>
      </c>
      <c r="P192" s="144">
        <v>21000</v>
      </c>
      <c r="Q192" s="144"/>
      <c r="R192" s="144"/>
      <c r="S192" s="130"/>
      <c r="T192" s="130"/>
      <c r="U192" s="130"/>
      <c r="V192" s="130"/>
    </row>
    <row r="193" spans="1:22" s="93" customFormat="1" ht="24" customHeight="1">
      <c r="A193" s="139" t="s">
        <v>4</v>
      </c>
      <c r="B193" s="134" t="s">
        <v>314</v>
      </c>
      <c r="C193" s="153"/>
      <c r="D193" s="153"/>
      <c r="E193" s="153"/>
      <c r="F193" s="160"/>
      <c r="G193" s="140">
        <f>H193+L193+R193</f>
        <v>49160</v>
      </c>
      <c r="H193" s="140"/>
      <c r="I193" s="140"/>
      <c r="J193" s="140"/>
      <c r="K193" s="140"/>
      <c r="L193" s="140">
        <f t="shared" si="53"/>
        <v>49160</v>
      </c>
      <c r="M193" s="140">
        <v>44160</v>
      </c>
      <c r="N193" s="140">
        <v>5000</v>
      </c>
      <c r="O193" s="140"/>
      <c r="P193" s="140"/>
      <c r="Q193" s="140"/>
      <c r="R193" s="140"/>
      <c r="S193" s="130"/>
      <c r="T193" s="130"/>
      <c r="U193" s="130"/>
      <c r="V193" s="130"/>
    </row>
    <row r="194" spans="1:22" s="95" customFormat="1" ht="25.5" customHeight="1">
      <c r="A194" s="139" t="s">
        <v>296</v>
      </c>
      <c r="B194" s="158" t="s">
        <v>486</v>
      </c>
      <c r="C194" s="153"/>
      <c r="D194" s="153"/>
      <c r="E194" s="153"/>
      <c r="F194" s="153"/>
      <c r="G194" s="140">
        <f>H194+L194+R194</f>
        <v>100000</v>
      </c>
      <c r="H194" s="140"/>
      <c r="I194" s="140"/>
      <c r="J194" s="140"/>
      <c r="K194" s="140"/>
      <c r="L194" s="140">
        <f t="shared" si="53"/>
        <v>100000</v>
      </c>
      <c r="M194" s="140"/>
      <c r="N194" s="140">
        <v>100000</v>
      </c>
      <c r="O194" s="140"/>
      <c r="P194" s="140"/>
      <c r="Q194" s="140"/>
      <c r="R194" s="140"/>
      <c r="S194" s="131"/>
      <c r="T194" s="131"/>
      <c r="U194" s="131"/>
      <c r="V194" s="131"/>
    </row>
    <row r="195" spans="1:22" s="95" customFormat="1" ht="25.5" customHeight="1">
      <c r="A195" s="155" t="s">
        <v>297</v>
      </c>
      <c r="B195" s="172" t="s">
        <v>89</v>
      </c>
      <c r="C195" s="168"/>
      <c r="D195" s="168"/>
      <c r="E195" s="168"/>
      <c r="F195" s="168"/>
      <c r="G195" s="144">
        <f t="shared" si="47"/>
        <v>150000</v>
      </c>
      <c r="H195" s="144"/>
      <c r="I195" s="144"/>
      <c r="J195" s="144"/>
      <c r="K195" s="144"/>
      <c r="L195" s="144">
        <f t="shared" si="53"/>
        <v>150000</v>
      </c>
      <c r="M195" s="144"/>
      <c r="N195" s="144">
        <v>150000</v>
      </c>
      <c r="O195" s="144"/>
      <c r="P195" s="144"/>
      <c r="Q195" s="144"/>
      <c r="R195" s="144"/>
      <c r="S195" s="131"/>
      <c r="T195" s="131"/>
      <c r="U195" s="131"/>
      <c r="V195" s="131"/>
    </row>
    <row r="196" spans="1:22" s="95" customFormat="1" ht="25.5" customHeight="1">
      <c r="A196" s="155" t="s">
        <v>298</v>
      </c>
      <c r="B196" s="172" t="s">
        <v>310</v>
      </c>
      <c r="C196" s="168"/>
      <c r="D196" s="168"/>
      <c r="E196" s="168"/>
      <c r="F196" s="168"/>
      <c r="G196" s="144">
        <f>SUM(G197:G205)</f>
        <v>1000000</v>
      </c>
      <c r="H196" s="144">
        <f aca="true" t="shared" si="54" ref="H196:R196">SUM(H197:H205)</f>
        <v>0</v>
      </c>
      <c r="I196" s="144">
        <f t="shared" si="54"/>
        <v>0</v>
      </c>
      <c r="J196" s="144">
        <f t="shared" si="54"/>
        <v>0</v>
      </c>
      <c r="K196" s="144">
        <f t="shared" si="54"/>
        <v>0</v>
      </c>
      <c r="L196" s="144">
        <f t="shared" si="54"/>
        <v>1000000</v>
      </c>
      <c r="M196" s="144">
        <f t="shared" si="54"/>
        <v>0</v>
      </c>
      <c r="N196" s="144">
        <f t="shared" si="54"/>
        <v>800000</v>
      </c>
      <c r="O196" s="144">
        <f t="shared" si="54"/>
        <v>0</v>
      </c>
      <c r="P196" s="144">
        <f t="shared" si="54"/>
        <v>200000</v>
      </c>
      <c r="Q196" s="144">
        <f t="shared" si="54"/>
        <v>0</v>
      </c>
      <c r="R196" s="144">
        <f t="shared" si="54"/>
        <v>0</v>
      </c>
      <c r="S196" s="131"/>
      <c r="T196" s="131"/>
      <c r="U196" s="131"/>
      <c r="V196" s="131"/>
    </row>
    <row r="197" spans="1:22" s="95" customFormat="1" ht="21" customHeight="1">
      <c r="A197" s="139" t="s">
        <v>4</v>
      </c>
      <c r="B197" s="132" t="s">
        <v>387</v>
      </c>
      <c r="C197" s="153"/>
      <c r="D197" s="153"/>
      <c r="E197" s="153"/>
      <c r="F197" s="153"/>
      <c r="G197" s="140">
        <f t="shared" si="47"/>
        <v>100000</v>
      </c>
      <c r="H197" s="140"/>
      <c r="I197" s="140"/>
      <c r="J197" s="140"/>
      <c r="K197" s="140"/>
      <c r="L197" s="140">
        <f t="shared" si="53"/>
        <v>100000</v>
      </c>
      <c r="M197" s="140"/>
      <c r="N197" s="140">
        <v>100000</v>
      </c>
      <c r="O197" s="140"/>
      <c r="P197" s="140"/>
      <c r="Q197" s="140"/>
      <c r="R197" s="140"/>
      <c r="S197" s="131"/>
      <c r="T197" s="131"/>
      <c r="U197" s="131"/>
      <c r="V197" s="131"/>
    </row>
    <row r="198" spans="1:22" s="95" customFormat="1" ht="21" customHeight="1">
      <c r="A198" s="139" t="s">
        <v>4</v>
      </c>
      <c r="B198" s="132" t="s">
        <v>442</v>
      </c>
      <c r="C198" s="153"/>
      <c r="D198" s="153"/>
      <c r="E198" s="153"/>
      <c r="F198" s="153"/>
      <c r="G198" s="140">
        <f t="shared" si="47"/>
        <v>100000</v>
      </c>
      <c r="H198" s="140"/>
      <c r="I198" s="140"/>
      <c r="J198" s="140"/>
      <c r="K198" s="140"/>
      <c r="L198" s="140">
        <f t="shared" si="53"/>
        <v>100000</v>
      </c>
      <c r="M198" s="140"/>
      <c r="N198" s="140">
        <v>100000</v>
      </c>
      <c r="O198" s="140"/>
      <c r="P198" s="140"/>
      <c r="Q198" s="140"/>
      <c r="R198" s="140"/>
      <c r="S198" s="131"/>
      <c r="T198" s="131"/>
      <c r="U198" s="131"/>
      <c r="V198" s="131"/>
    </row>
    <row r="199" spans="1:22" s="95" customFormat="1" ht="20.25" customHeight="1">
      <c r="A199" s="139" t="s">
        <v>4</v>
      </c>
      <c r="B199" s="132" t="s">
        <v>443</v>
      </c>
      <c r="C199" s="153"/>
      <c r="D199" s="153"/>
      <c r="E199" s="153"/>
      <c r="F199" s="153"/>
      <c r="G199" s="140">
        <f t="shared" si="47"/>
        <v>100000</v>
      </c>
      <c r="H199" s="140"/>
      <c r="I199" s="140"/>
      <c r="J199" s="140"/>
      <c r="K199" s="140"/>
      <c r="L199" s="140">
        <f t="shared" si="53"/>
        <v>100000</v>
      </c>
      <c r="M199" s="140"/>
      <c r="N199" s="140">
        <v>100000</v>
      </c>
      <c r="O199" s="140"/>
      <c r="P199" s="140"/>
      <c r="Q199" s="140"/>
      <c r="R199" s="140"/>
      <c r="S199" s="131"/>
      <c r="T199" s="131"/>
      <c r="U199" s="131"/>
      <c r="V199" s="131"/>
    </row>
    <row r="200" spans="1:22" s="95" customFormat="1" ht="20.25" customHeight="1">
      <c r="A200" s="139" t="s">
        <v>4</v>
      </c>
      <c r="B200" s="132" t="s">
        <v>444</v>
      </c>
      <c r="C200" s="153"/>
      <c r="D200" s="153"/>
      <c r="E200" s="153"/>
      <c r="F200" s="153"/>
      <c r="G200" s="140">
        <f t="shared" si="47"/>
        <v>100000</v>
      </c>
      <c r="H200" s="140"/>
      <c r="I200" s="140"/>
      <c r="J200" s="140"/>
      <c r="K200" s="140"/>
      <c r="L200" s="140">
        <f t="shared" si="53"/>
        <v>100000</v>
      </c>
      <c r="M200" s="140"/>
      <c r="N200" s="140">
        <v>100000</v>
      </c>
      <c r="O200" s="140"/>
      <c r="P200" s="140"/>
      <c r="Q200" s="140"/>
      <c r="R200" s="140"/>
      <c r="S200" s="131"/>
      <c r="T200" s="131"/>
      <c r="U200" s="131"/>
      <c r="V200" s="131"/>
    </row>
    <row r="201" spans="1:22" s="95" customFormat="1" ht="21" customHeight="1">
      <c r="A201" s="139" t="s">
        <v>4</v>
      </c>
      <c r="B201" s="132" t="s">
        <v>445</v>
      </c>
      <c r="C201" s="153"/>
      <c r="D201" s="153"/>
      <c r="E201" s="153"/>
      <c r="F201" s="153"/>
      <c r="G201" s="140">
        <f t="shared" si="47"/>
        <v>100000</v>
      </c>
      <c r="H201" s="140"/>
      <c r="I201" s="140"/>
      <c r="J201" s="140"/>
      <c r="K201" s="140"/>
      <c r="L201" s="140">
        <f t="shared" si="53"/>
        <v>100000</v>
      </c>
      <c r="M201" s="140"/>
      <c r="N201" s="140">
        <v>100000</v>
      </c>
      <c r="O201" s="140"/>
      <c r="P201" s="140"/>
      <c r="Q201" s="140"/>
      <c r="R201" s="140"/>
      <c r="S201" s="131"/>
      <c r="T201" s="131"/>
      <c r="U201" s="131"/>
      <c r="V201" s="131"/>
    </row>
    <row r="202" spans="1:22" s="95" customFormat="1" ht="19.5" customHeight="1">
      <c r="A202" s="139" t="s">
        <v>4</v>
      </c>
      <c r="B202" s="132" t="s">
        <v>446</v>
      </c>
      <c r="C202" s="153"/>
      <c r="D202" s="153"/>
      <c r="E202" s="153"/>
      <c r="F202" s="153"/>
      <c r="G202" s="140">
        <f t="shared" si="47"/>
        <v>100000</v>
      </c>
      <c r="H202" s="140"/>
      <c r="I202" s="140"/>
      <c r="J202" s="140"/>
      <c r="K202" s="140"/>
      <c r="L202" s="140">
        <f t="shared" si="53"/>
        <v>100000</v>
      </c>
      <c r="M202" s="140"/>
      <c r="N202" s="140">
        <v>100000</v>
      </c>
      <c r="O202" s="140"/>
      <c r="P202" s="140"/>
      <c r="Q202" s="140"/>
      <c r="R202" s="140"/>
      <c r="S202" s="131"/>
      <c r="T202" s="131"/>
      <c r="U202" s="131"/>
      <c r="V202" s="131"/>
    </row>
    <row r="203" spans="1:22" s="95" customFormat="1" ht="21" customHeight="1">
      <c r="A203" s="139" t="s">
        <v>4</v>
      </c>
      <c r="B203" s="132" t="s">
        <v>447</v>
      </c>
      <c r="C203" s="153"/>
      <c r="D203" s="153"/>
      <c r="E203" s="153"/>
      <c r="F203" s="153"/>
      <c r="G203" s="140">
        <f t="shared" si="47"/>
        <v>100000</v>
      </c>
      <c r="H203" s="140"/>
      <c r="I203" s="140"/>
      <c r="J203" s="140"/>
      <c r="K203" s="140"/>
      <c r="L203" s="140">
        <f t="shared" si="53"/>
        <v>100000</v>
      </c>
      <c r="M203" s="140"/>
      <c r="N203" s="140">
        <v>100000</v>
      </c>
      <c r="O203" s="140"/>
      <c r="P203" s="140"/>
      <c r="Q203" s="140"/>
      <c r="R203" s="140"/>
      <c r="S203" s="131"/>
      <c r="T203" s="131"/>
      <c r="U203" s="131"/>
      <c r="V203" s="131"/>
    </row>
    <row r="204" spans="1:22" s="95" customFormat="1" ht="19.5" customHeight="1">
      <c r="A204" s="139" t="s">
        <v>4</v>
      </c>
      <c r="B204" s="132" t="s">
        <v>400</v>
      </c>
      <c r="C204" s="153"/>
      <c r="D204" s="153"/>
      <c r="E204" s="153"/>
      <c r="F204" s="153"/>
      <c r="G204" s="140">
        <f t="shared" si="47"/>
        <v>100000</v>
      </c>
      <c r="H204" s="140"/>
      <c r="I204" s="140"/>
      <c r="J204" s="140"/>
      <c r="K204" s="140"/>
      <c r="L204" s="140">
        <f t="shared" si="53"/>
        <v>100000</v>
      </c>
      <c r="M204" s="140"/>
      <c r="N204" s="140">
        <v>100000</v>
      </c>
      <c r="O204" s="140"/>
      <c r="P204" s="140"/>
      <c r="Q204" s="140"/>
      <c r="R204" s="140"/>
      <c r="S204" s="131"/>
      <c r="T204" s="131"/>
      <c r="U204" s="131"/>
      <c r="V204" s="131"/>
    </row>
    <row r="205" spans="1:22" s="95" customFormat="1" ht="20.25" customHeight="1">
      <c r="A205" s="139" t="s">
        <v>4</v>
      </c>
      <c r="B205" s="158" t="s">
        <v>487</v>
      </c>
      <c r="C205" s="153"/>
      <c r="D205" s="153"/>
      <c r="E205" s="153"/>
      <c r="F205" s="153"/>
      <c r="G205" s="140">
        <v>200000</v>
      </c>
      <c r="H205" s="140"/>
      <c r="I205" s="140"/>
      <c r="J205" s="140"/>
      <c r="K205" s="140"/>
      <c r="L205" s="140">
        <f t="shared" si="53"/>
        <v>200000</v>
      </c>
      <c r="M205" s="140"/>
      <c r="N205" s="140"/>
      <c r="O205" s="140"/>
      <c r="P205" s="140">
        <v>200000</v>
      </c>
      <c r="Q205" s="140"/>
      <c r="R205" s="140"/>
      <c r="S205" s="131"/>
      <c r="T205" s="131"/>
      <c r="U205" s="131"/>
      <c r="V205" s="131"/>
    </row>
    <row r="206" spans="1:22" s="95" customFormat="1" ht="21.75" customHeight="1">
      <c r="A206" s="139" t="s">
        <v>309</v>
      </c>
      <c r="B206" s="161" t="s">
        <v>311</v>
      </c>
      <c r="C206" s="153"/>
      <c r="D206" s="153"/>
      <c r="E206" s="153"/>
      <c r="F206" s="153"/>
      <c r="G206" s="140">
        <f>SUM(G207:G215)</f>
        <v>91000</v>
      </c>
      <c r="H206" s="140">
        <f aca="true" t="shared" si="55" ref="H206:N206">SUM(H207:H215)</f>
        <v>0</v>
      </c>
      <c r="I206" s="140">
        <f t="shared" si="55"/>
        <v>0</v>
      </c>
      <c r="J206" s="140">
        <f t="shared" si="55"/>
        <v>0</v>
      </c>
      <c r="K206" s="140">
        <f t="shared" si="55"/>
        <v>0</v>
      </c>
      <c r="L206" s="140">
        <f t="shared" si="55"/>
        <v>91000</v>
      </c>
      <c r="M206" s="140">
        <f t="shared" si="55"/>
        <v>0</v>
      </c>
      <c r="N206" s="140">
        <f t="shared" si="55"/>
        <v>0</v>
      </c>
      <c r="O206" s="140">
        <f>SUM(O207:O215)</f>
        <v>91000</v>
      </c>
      <c r="P206" s="140"/>
      <c r="Q206" s="140"/>
      <c r="R206" s="140"/>
      <c r="S206" s="131"/>
      <c r="T206" s="131"/>
      <c r="U206" s="131"/>
      <c r="V206" s="131"/>
    </row>
    <row r="207" spans="1:22" s="95" customFormat="1" ht="21" customHeight="1">
      <c r="A207" s="139" t="s">
        <v>4</v>
      </c>
      <c r="B207" s="132" t="s">
        <v>387</v>
      </c>
      <c r="C207" s="153"/>
      <c r="D207" s="153"/>
      <c r="E207" s="153"/>
      <c r="F207" s="153"/>
      <c r="G207" s="140">
        <f aca="true" t="shared" si="56" ref="G207:G215">H207+L207+R207</f>
        <v>9500</v>
      </c>
      <c r="H207" s="140"/>
      <c r="I207" s="140"/>
      <c r="J207" s="140"/>
      <c r="K207" s="140"/>
      <c r="L207" s="140">
        <f aca="true" t="shared" si="57" ref="L207:L214">SUM(M207:Q207)</f>
        <v>9500</v>
      </c>
      <c r="M207" s="140"/>
      <c r="N207" s="140"/>
      <c r="O207" s="140">
        <v>9500</v>
      </c>
      <c r="P207" s="140"/>
      <c r="Q207" s="140"/>
      <c r="R207" s="140"/>
      <c r="S207" s="131"/>
      <c r="T207" s="131"/>
      <c r="U207" s="131"/>
      <c r="V207" s="131"/>
    </row>
    <row r="208" spans="1:22" s="95" customFormat="1" ht="21.75" customHeight="1">
      <c r="A208" s="139" t="s">
        <v>4</v>
      </c>
      <c r="B208" s="132" t="s">
        <v>442</v>
      </c>
      <c r="C208" s="153"/>
      <c r="D208" s="153"/>
      <c r="E208" s="153"/>
      <c r="F208" s="153"/>
      <c r="G208" s="140">
        <f t="shared" si="56"/>
        <v>9500</v>
      </c>
      <c r="H208" s="140"/>
      <c r="I208" s="140"/>
      <c r="J208" s="140"/>
      <c r="K208" s="140"/>
      <c r="L208" s="140">
        <f t="shared" si="57"/>
        <v>9500</v>
      </c>
      <c r="M208" s="140"/>
      <c r="N208" s="140"/>
      <c r="O208" s="140">
        <v>9500</v>
      </c>
      <c r="P208" s="140"/>
      <c r="Q208" s="140"/>
      <c r="R208" s="140"/>
      <c r="S208" s="131"/>
      <c r="T208" s="131"/>
      <c r="U208" s="131"/>
      <c r="V208" s="131"/>
    </row>
    <row r="209" spans="1:22" s="95" customFormat="1" ht="20.25" customHeight="1">
      <c r="A209" s="139" t="s">
        <v>4</v>
      </c>
      <c r="B209" s="132" t="s">
        <v>443</v>
      </c>
      <c r="C209" s="153"/>
      <c r="D209" s="153"/>
      <c r="E209" s="153"/>
      <c r="F209" s="153"/>
      <c r="G209" s="140">
        <f t="shared" si="56"/>
        <v>9500</v>
      </c>
      <c r="H209" s="140"/>
      <c r="I209" s="140"/>
      <c r="J209" s="140"/>
      <c r="K209" s="140"/>
      <c r="L209" s="140">
        <f t="shared" si="57"/>
        <v>9500</v>
      </c>
      <c r="M209" s="140"/>
      <c r="N209" s="140"/>
      <c r="O209" s="140">
        <v>9500</v>
      </c>
      <c r="P209" s="140"/>
      <c r="Q209" s="140"/>
      <c r="R209" s="140"/>
      <c r="S209" s="131"/>
      <c r="T209" s="131"/>
      <c r="U209" s="131"/>
      <c r="V209" s="131"/>
    </row>
    <row r="210" spans="1:22" s="95" customFormat="1" ht="21" customHeight="1">
      <c r="A210" s="139" t="s">
        <v>4</v>
      </c>
      <c r="B210" s="132" t="s">
        <v>444</v>
      </c>
      <c r="C210" s="153"/>
      <c r="D210" s="153"/>
      <c r="E210" s="153"/>
      <c r="F210" s="153"/>
      <c r="G210" s="140">
        <f t="shared" si="56"/>
        <v>9500</v>
      </c>
      <c r="H210" s="140"/>
      <c r="I210" s="140"/>
      <c r="J210" s="140"/>
      <c r="K210" s="140"/>
      <c r="L210" s="140">
        <f t="shared" si="57"/>
        <v>9500</v>
      </c>
      <c r="M210" s="140"/>
      <c r="N210" s="140"/>
      <c r="O210" s="140">
        <v>9500</v>
      </c>
      <c r="P210" s="140"/>
      <c r="Q210" s="140"/>
      <c r="R210" s="140"/>
      <c r="S210" s="131"/>
      <c r="T210" s="131"/>
      <c r="U210" s="131"/>
      <c r="V210" s="131"/>
    </row>
    <row r="211" spans="1:22" s="95" customFormat="1" ht="19.5" customHeight="1">
      <c r="A211" s="139" t="s">
        <v>4</v>
      </c>
      <c r="B211" s="132" t="s">
        <v>445</v>
      </c>
      <c r="C211" s="153"/>
      <c r="D211" s="153"/>
      <c r="E211" s="153"/>
      <c r="F211" s="153"/>
      <c r="G211" s="140">
        <f t="shared" si="56"/>
        <v>9500</v>
      </c>
      <c r="H211" s="140"/>
      <c r="I211" s="140"/>
      <c r="J211" s="140"/>
      <c r="K211" s="140"/>
      <c r="L211" s="140">
        <f t="shared" si="57"/>
        <v>9500</v>
      </c>
      <c r="M211" s="140"/>
      <c r="N211" s="140"/>
      <c r="O211" s="140">
        <v>9500</v>
      </c>
      <c r="P211" s="140"/>
      <c r="Q211" s="140"/>
      <c r="R211" s="140"/>
      <c r="S211" s="131"/>
      <c r="T211" s="131"/>
      <c r="U211" s="131"/>
      <c r="V211" s="131"/>
    </row>
    <row r="212" spans="1:22" s="95" customFormat="1" ht="19.5" customHeight="1">
      <c r="A212" s="139" t="s">
        <v>4</v>
      </c>
      <c r="B212" s="132" t="s">
        <v>446</v>
      </c>
      <c r="C212" s="153"/>
      <c r="D212" s="153"/>
      <c r="E212" s="153"/>
      <c r="F212" s="153"/>
      <c r="G212" s="140">
        <f t="shared" si="56"/>
        <v>9500</v>
      </c>
      <c r="H212" s="140"/>
      <c r="I212" s="140"/>
      <c r="J212" s="140"/>
      <c r="K212" s="140"/>
      <c r="L212" s="140">
        <f t="shared" si="57"/>
        <v>9500</v>
      </c>
      <c r="M212" s="140"/>
      <c r="N212" s="140"/>
      <c r="O212" s="140">
        <v>9500</v>
      </c>
      <c r="P212" s="140"/>
      <c r="Q212" s="140"/>
      <c r="R212" s="140"/>
      <c r="S212" s="131"/>
      <c r="T212" s="131"/>
      <c r="U212" s="131"/>
      <c r="V212" s="131"/>
    </row>
    <row r="213" spans="1:22" s="95" customFormat="1" ht="20.25" customHeight="1">
      <c r="A213" s="139" t="s">
        <v>4</v>
      </c>
      <c r="B213" s="132" t="s">
        <v>447</v>
      </c>
      <c r="C213" s="153"/>
      <c r="D213" s="153"/>
      <c r="E213" s="153"/>
      <c r="F213" s="153"/>
      <c r="G213" s="140">
        <f t="shared" si="56"/>
        <v>9500</v>
      </c>
      <c r="H213" s="140"/>
      <c r="I213" s="140"/>
      <c r="J213" s="140"/>
      <c r="K213" s="140"/>
      <c r="L213" s="140">
        <f t="shared" si="57"/>
        <v>9500</v>
      </c>
      <c r="M213" s="140"/>
      <c r="N213" s="140"/>
      <c r="O213" s="140">
        <v>9500</v>
      </c>
      <c r="P213" s="140"/>
      <c r="Q213" s="140"/>
      <c r="R213" s="140"/>
      <c r="S213" s="131"/>
      <c r="T213" s="131"/>
      <c r="U213" s="131"/>
      <c r="V213" s="131"/>
    </row>
    <row r="214" spans="1:22" s="95" customFormat="1" ht="19.5" customHeight="1">
      <c r="A214" s="139" t="s">
        <v>4</v>
      </c>
      <c r="B214" s="132" t="s">
        <v>400</v>
      </c>
      <c r="C214" s="153"/>
      <c r="D214" s="153"/>
      <c r="E214" s="153"/>
      <c r="F214" s="153"/>
      <c r="G214" s="140">
        <f t="shared" si="56"/>
        <v>9500</v>
      </c>
      <c r="H214" s="140"/>
      <c r="I214" s="140"/>
      <c r="J214" s="140"/>
      <c r="K214" s="140"/>
      <c r="L214" s="140">
        <f t="shared" si="57"/>
        <v>9500</v>
      </c>
      <c r="M214" s="140"/>
      <c r="N214" s="140"/>
      <c r="O214" s="140">
        <v>9500</v>
      </c>
      <c r="P214" s="140"/>
      <c r="Q214" s="140"/>
      <c r="R214" s="140"/>
      <c r="S214" s="131"/>
      <c r="T214" s="131"/>
      <c r="U214" s="131"/>
      <c r="V214" s="131"/>
    </row>
    <row r="215" spans="1:22" s="95" customFormat="1" ht="20.25" customHeight="1">
      <c r="A215" s="139" t="s">
        <v>4</v>
      </c>
      <c r="B215" s="158" t="s">
        <v>8</v>
      </c>
      <c r="C215" s="153"/>
      <c r="D215" s="153"/>
      <c r="E215" s="153"/>
      <c r="F215" s="153"/>
      <c r="G215" s="140">
        <f t="shared" si="56"/>
        <v>15000</v>
      </c>
      <c r="H215" s="140"/>
      <c r="I215" s="140"/>
      <c r="J215" s="140"/>
      <c r="K215" s="140"/>
      <c r="L215" s="140">
        <f>SUM(M215:Q215)</f>
        <v>15000</v>
      </c>
      <c r="M215" s="140"/>
      <c r="N215" s="140"/>
      <c r="O215" s="140">
        <v>15000</v>
      </c>
      <c r="P215" s="140"/>
      <c r="Q215" s="140"/>
      <c r="R215" s="140"/>
      <c r="S215" s="131"/>
      <c r="T215" s="131"/>
      <c r="U215" s="131"/>
      <c r="V215" s="131"/>
    </row>
    <row r="216" spans="1:22" s="95" customFormat="1" ht="22.5" customHeight="1">
      <c r="A216" s="139" t="s">
        <v>312</v>
      </c>
      <c r="B216" s="158" t="s">
        <v>277</v>
      </c>
      <c r="C216" s="153"/>
      <c r="D216" s="153"/>
      <c r="E216" s="153"/>
      <c r="F216" s="153"/>
      <c r="G216" s="140">
        <f>17032000-G195-G192-G191-G190-G189-G188-G185-G184-G183-G182-G180-G179-G178-G166-G194-G196-G206</f>
        <v>257720</v>
      </c>
      <c r="H216" s="140"/>
      <c r="I216" s="140"/>
      <c r="J216" s="140"/>
      <c r="K216" s="140"/>
      <c r="L216" s="140">
        <f t="shared" si="53"/>
        <v>0</v>
      </c>
      <c r="M216" s="140"/>
      <c r="N216" s="140"/>
      <c r="O216" s="140"/>
      <c r="P216" s="140"/>
      <c r="Q216" s="140"/>
      <c r="R216" s="140"/>
      <c r="S216" s="131"/>
      <c r="T216" s="131"/>
      <c r="U216" s="131"/>
      <c r="V216" s="131"/>
    </row>
    <row r="217" spans="1:18" s="10" customFormat="1" ht="20.25" customHeight="1">
      <c r="A217" s="155">
        <v>3</v>
      </c>
      <c r="B217" s="156" t="s">
        <v>90</v>
      </c>
      <c r="C217" s="168">
        <f aca="true" t="shared" si="58" ref="C217:R217">C218+C223+C224+C225+C226+C228+C229+C230+C231</f>
        <v>25</v>
      </c>
      <c r="D217" s="168">
        <f t="shared" si="58"/>
        <v>0</v>
      </c>
      <c r="E217" s="168">
        <f t="shared" si="58"/>
        <v>25</v>
      </c>
      <c r="F217" s="168">
        <f t="shared" si="58"/>
        <v>0</v>
      </c>
      <c r="G217" s="144">
        <f t="shared" si="58"/>
        <v>5010000</v>
      </c>
      <c r="H217" s="144">
        <f t="shared" si="58"/>
        <v>4142300</v>
      </c>
      <c r="I217" s="144">
        <f t="shared" si="58"/>
        <v>3697300</v>
      </c>
      <c r="J217" s="144">
        <f t="shared" si="58"/>
        <v>315000</v>
      </c>
      <c r="K217" s="144">
        <f t="shared" si="58"/>
        <v>130000</v>
      </c>
      <c r="L217" s="144">
        <f t="shared" si="58"/>
        <v>494720</v>
      </c>
      <c r="M217" s="144">
        <f t="shared" si="58"/>
        <v>113120</v>
      </c>
      <c r="N217" s="144">
        <f t="shared" si="58"/>
        <v>192000</v>
      </c>
      <c r="O217" s="144">
        <f t="shared" si="58"/>
        <v>50000</v>
      </c>
      <c r="P217" s="144">
        <f t="shared" si="58"/>
        <v>139600</v>
      </c>
      <c r="Q217" s="144">
        <f t="shared" si="58"/>
        <v>0</v>
      </c>
      <c r="R217" s="144">
        <f t="shared" si="58"/>
        <v>0</v>
      </c>
    </row>
    <row r="218" spans="1:22" s="95" customFormat="1" ht="22.5" customHeight="1">
      <c r="A218" s="155" t="s">
        <v>91</v>
      </c>
      <c r="B218" s="156" t="s">
        <v>488</v>
      </c>
      <c r="C218" s="168">
        <f>SUM(D218:F218)</f>
        <v>5</v>
      </c>
      <c r="D218" s="168"/>
      <c r="E218" s="168">
        <v>5</v>
      </c>
      <c r="F218" s="170" t="s">
        <v>67</v>
      </c>
      <c r="G218" s="144">
        <f>SUM(G219:G222)</f>
        <v>1187020</v>
      </c>
      <c r="H218" s="144">
        <f>SUM(H219:H222)</f>
        <v>899500</v>
      </c>
      <c r="I218" s="144">
        <f aca="true" t="shared" si="59" ref="I218:R218">SUM(I219:I222)</f>
        <v>768500</v>
      </c>
      <c r="J218" s="144">
        <f>SUM(J219:J222)</f>
        <v>105000</v>
      </c>
      <c r="K218" s="144">
        <f t="shared" si="59"/>
        <v>26000</v>
      </c>
      <c r="L218" s="144">
        <f t="shared" si="59"/>
        <v>287520</v>
      </c>
      <c r="M218" s="144">
        <f t="shared" si="59"/>
        <v>113120</v>
      </c>
      <c r="N218" s="144">
        <f t="shared" si="59"/>
        <v>142000</v>
      </c>
      <c r="O218" s="144">
        <f t="shared" si="59"/>
        <v>10000</v>
      </c>
      <c r="P218" s="144">
        <f t="shared" si="59"/>
        <v>22400</v>
      </c>
      <c r="Q218" s="144">
        <f t="shared" si="59"/>
        <v>0</v>
      </c>
      <c r="R218" s="144">
        <f t="shared" si="59"/>
        <v>0</v>
      </c>
      <c r="S218" s="131"/>
      <c r="T218" s="131"/>
      <c r="U218" s="131"/>
      <c r="V218" s="131"/>
    </row>
    <row r="219" spans="1:22" s="95" customFormat="1" ht="19.5" customHeight="1">
      <c r="A219" s="146" t="s">
        <v>4</v>
      </c>
      <c r="B219" s="147" t="s">
        <v>92</v>
      </c>
      <c r="C219" s="153">
        <f>SUM(D219:F219)</f>
        <v>5</v>
      </c>
      <c r="D219" s="153"/>
      <c r="E219" s="153">
        <v>5</v>
      </c>
      <c r="F219" s="153"/>
      <c r="G219" s="140">
        <f aca="true" t="shared" si="60" ref="G219:G227">H219+L219+R219</f>
        <v>965020</v>
      </c>
      <c r="H219" s="140">
        <f>SUM(I219:K219)</f>
        <v>899500</v>
      </c>
      <c r="I219" s="140">
        <v>768500</v>
      </c>
      <c r="J219" s="140">
        <f>+C219*21000</f>
        <v>105000</v>
      </c>
      <c r="K219" s="140">
        <v>26000</v>
      </c>
      <c r="L219" s="140">
        <f>SUM(M219:R219)</f>
        <v>65520</v>
      </c>
      <c r="M219" s="140">
        <f>23*120*12</f>
        <v>33120</v>
      </c>
      <c r="N219" s="140"/>
      <c r="O219" s="140">
        <v>10000</v>
      </c>
      <c r="P219" s="140">
        <v>22400</v>
      </c>
      <c r="Q219" s="140"/>
      <c r="R219" s="140"/>
      <c r="S219" s="131"/>
      <c r="T219" s="131"/>
      <c r="U219" s="131"/>
      <c r="V219" s="131"/>
    </row>
    <row r="220" spans="1:22" s="95" customFormat="1" ht="22.5" customHeight="1">
      <c r="A220" s="146" t="s">
        <v>4</v>
      </c>
      <c r="B220" s="134" t="s">
        <v>489</v>
      </c>
      <c r="C220" s="153"/>
      <c r="D220" s="153"/>
      <c r="E220" s="153"/>
      <c r="F220" s="153"/>
      <c r="G220" s="140">
        <f t="shared" si="60"/>
        <v>50000</v>
      </c>
      <c r="H220" s="140"/>
      <c r="I220" s="140"/>
      <c r="J220" s="140"/>
      <c r="K220" s="140"/>
      <c r="L220" s="140">
        <f aca="true" t="shared" si="61" ref="L220:L245">SUM(M220:Q220)</f>
        <v>50000</v>
      </c>
      <c r="M220" s="140"/>
      <c r="N220" s="140">
        <v>50000</v>
      </c>
      <c r="O220" s="140"/>
      <c r="P220" s="140"/>
      <c r="Q220" s="140"/>
      <c r="R220" s="140"/>
      <c r="S220" s="131"/>
      <c r="T220" s="131"/>
      <c r="U220" s="131"/>
      <c r="V220" s="131"/>
    </row>
    <row r="221" spans="1:22" s="95" customFormat="1" ht="20.25" customHeight="1">
      <c r="A221" s="146" t="s">
        <v>4</v>
      </c>
      <c r="B221" s="134" t="s">
        <v>93</v>
      </c>
      <c r="C221" s="151"/>
      <c r="D221" s="153"/>
      <c r="E221" s="153"/>
      <c r="F221" s="153"/>
      <c r="G221" s="140">
        <f t="shared" si="60"/>
        <v>50000</v>
      </c>
      <c r="H221" s="140"/>
      <c r="I221" s="140"/>
      <c r="J221" s="140"/>
      <c r="K221" s="140"/>
      <c r="L221" s="140">
        <f t="shared" si="61"/>
        <v>50000</v>
      </c>
      <c r="M221" s="140"/>
      <c r="N221" s="140">
        <v>50000</v>
      </c>
      <c r="O221" s="140"/>
      <c r="P221" s="140"/>
      <c r="Q221" s="140"/>
      <c r="R221" s="140"/>
      <c r="S221" s="131"/>
      <c r="T221" s="131"/>
      <c r="U221" s="131"/>
      <c r="V221" s="131"/>
    </row>
    <row r="222" spans="1:22" s="95" customFormat="1" ht="20.25" customHeight="1">
      <c r="A222" s="146" t="s">
        <v>4</v>
      </c>
      <c r="B222" s="147" t="s">
        <v>532</v>
      </c>
      <c r="C222" s="151"/>
      <c r="D222" s="153"/>
      <c r="E222" s="153"/>
      <c r="F222" s="153"/>
      <c r="G222" s="140">
        <f t="shared" si="60"/>
        <v>122000</v>
      </c>
      <c r="H222" s="140">
        <f>SUM(I222:K222)</f>
        <v>0</v>
      </c>
      <c r="I222" s="140"/>
      <c r="J222" s="140"/>
      <c r="K222" s="140"/>
      <c r="L222" s="140">
        <f t="shared" si="61"/>
        <v>122000</v>
      </c>
      <c r="M222" s="140">
        <v>80000</v>
      </c>
      <c r="N222" s="140">
        <v>42000</v>
      </c>
      <c r="O222" s="140"/>
      <c r="P222" s="140"/>
      <c r="Q222" s="140"/>
      <c r="R222" s="140"/>
      <c r="S222" s="131"/>
      <c r="T222" s="131"/>
      <c r="U222" s="131"/>
      <c r="V222" s="131"/>
    </row>
    <row r="223" spans="1:22" s="95" customFormat="1" ht="20.25" customHeight="1">
      <c r="A223" s="139" t="s">
        <v>94</v>
      </c>
      <c r="B223" s="147" t="s">
        <v>493</v>
      </c>
      <c r="C223" s="153">
        <f>SUM(D223:F223)</f>
        <v>5</v>
      </c>
      <c r="D223" s="153"/>
      <c r="E223" s="153">
        <v>5</v>
      </c>
      <c r="F223" s="153">
        <v>0</v>
      </c>
      <c r="G223" s="140">
        <f>H223+L223+R223</f>
        <v>739000</v>
      </c>
      <c r="H223" s="140">
        <f>SUM(I223:K223)</f>
        <v>706000</v>
      </c>
      <c r="I223" s="140">
        <v>680000</v>
      </c>
      <c r="J223" s="140"/>
      <c r="K223" s="140">
        <v>26000</v>
      </c>
      <c r="L223" s="140">
        <f t="shared" si="61"/>
        <v>33000</v>
      </c>
      <c r="M223" s="140"/>
      <c r="N223" s="140"/>
      <c r="O223" s="140">
        <v>10000</v>
      </c>
      <c r="P223" s="140">
        <v>23000</v>
      </c>
      <c r="Q223" s="140"/>
      <c r="R223" s="140"/>
      <c r="S223" s="131"/>
      <c r="T223" s="131"/>
      <c r="U223" s="131"/>
      <c r="V223" s="131"/>
    </row>
    <row r="224" spans="1:22" s="95" customFormat="1" ht="21.75" customHeight="1">
      <c r="A224" s="155" t="s">
        <v>95</v>
      </c>
      <c r="B224" s="156" t="s">
        <v>96</v>
      </c>
      <c r="C224" s="168">
        <f>SUM(D224:F224)</f>
        <v>5</v>
      </c>
      <c r="D224" s="168"/>
      <c r="E224" s="168">
        <v>5</v>
      </c>
      <c r="F224" s="170" t="s">
        <v>67</v>
      </c>
      <c r="G224" s="144">
        <f t="shared" si="60"/>
        <v>1037500</v>
      </c>
      <c r="H224" s="144">
        <f>SUM(I224:K224)</f>
        <v>1004800</v>
      </c>
      <c r="I224" s="144">
        <f>978800</f>
        <v>978800</v>
      </c>
      <c r="J224" s="144"/>
      <c r="K224" s="144">
        <v>26000</v>
      </c>
      <c r="L224" s="144">
        <f t="shared" si="61"/>
        <v>32700</v>
      </c>
      <c r="M224" s="144"/>
      <c r="N224" s="144"/>
      <c r="O224" s="144">
        <v>10000</v>
      </c>
      <c r="P224" s="144">
        <f>22700</f>
        <v>22700</v>
      </c>
      <c r="Q224" s="144"/>
      <c r="R224" s="144"/>
      <c r="S224" s="131"/>
      <c r="T224" s="131"/>
      <c r="U224" s="131"/>
      <c r="V224" s="131"/>
    </row>
    <row r="225" spans="1:22" s="95" customFormat="1" ht="21" customHeight="1">
      <c r="A225" s="155" t="s">
        <v>97</v>
      </c>
      <c r="B225" s="156" t="s">
        <v>98</v>
      </c>
      <c r="C225" s="168">
        <f>SUM(D225:F225)</f>
        <v>5</v>
      </c>
      <c r="D225" s="168"/>
      <c r="E225" s="168">
        <v>5</v>
      </c>
      <c r="F225" s="170" t="s">
        <v>67</v>
      </c>
      <c r="G225" s="144">
        <f t="shared" si="60"/>
        <v>891000</v>
      </c>
      <c r="H225" s="144">
        <f>SUM(I225:K225)</f>
        <v>881000</v>
      </c>
      <c r="I225" s="144">
        <f>750000</f>
        <v>750000</v>
      </c>
      <c r="J225" s="144">
        <f>+C225*21000</f>
        <v>105000</v>
      </c>
      <c r="K225" s="144">
        <v>26000</v>
      </c>
      <c r="L225" s="144">
        <f t="shared" si="61"/>
        <v>10000</v>
      </c>
      <c r="M225" s="144"/>
      <c r="N225" s="144"/>
      <c r="O225" s="144">
        <v>10000</v>
      </c>
      <c r="P225" s="144"/>
      <c r="Q225" s="144"/>
      <c r="R225" s="144"/>
      <c r="S225" s="131"/>
      <c r="T225" s="131"/>
      <c r="U225" s="131"/>
      <c r="V225" s="131"/>
    </row>
    <row r="226" spans="1:22" s="95" customFormat="1" ht="21.75" customHeight="1">
      <c r="A226" s="155" t="s">
        <v>99</v>
      </c>
      <c r="B226" s="156" t="s">
        <v>10</v>
      </c>
      <c r="C226" s="168">
        <f>SUM(D226:F226)</f>
        <v>5</v>
      </c>
      <c r="D226" s="168"/>
      <c r="E226" s="168">
        <v>5</v>
      </c>
      <c r="F226" s="170" t="s">
        <v>67</v>
      </c>
      <c r="G226" s="144">
        <f>H226+L226+R226</f>
        <v>732500</v>
      </c>
      <c r="H226" s="144">
        <f>SUM(I226:K226)</f>
        <v>651000</v>
      </c>
      <c r="I226" s="144">
        <f>532000+7700-19700</f>
        <v>520000</v>
      </c>
      <c r="J226" s="144">
        <f>+C226*21000</f>
        <v>105000</v>
      </c>
      <c r="K226" s="144">
        <v>26000</v>
      </c>
      <c r="L226" s="144">
        <f t="shared" si="61"/>
        <v>81500</v>
      </c>
      <c r="M226" s="144"/>
      <c r="N226" s="173">
        <v>50000</v>
      </c>
      <c r="O226" s="144">
        <v>10000</v>
      </c>
      <c r="P226" s="173">
        <v>21500</v>
      </c>
      <c r="Q226" s="144"/>
      <c r="R226" s="144"/>
      <c r="S226" s="131"/>
      <c r="T226" s="131"/>
      <c r="U226" s="131"/>
      <c r="V226" s="131"/>
    </row>
    <row r="227" spans="1:22" s="177" customFormat="1" ht="31.5" customHeight="1">
      <c r="A227" s="136"/>
      <c r="B227" s="134" t="s">
        <v>100</v>
      </c>
      <c r="C227" s="174"/>
      <c r="D227" s="174"/>
      <c r="E227" s="174"/>
      <c r="F227" s="175"/>
      <c r="G227" s="140">
        <f t="shared" si="60"/>
        <v>50000</v>
      </c>
      <c r="H227" s="159"/>
      <c r="I227" s="159"/>
      <c r="J227" s="159"/>
      <c r="K227" s="159"/>
      <c r="L227" s="140">
        <f t="shared" si="61"/>
        <v>50000</v>
      </c>
      <c r="M227" s="159"/>
      <c r="N227" s="159">
        <v>50000</v>
      </c>
      <c r="O227" s="159"/>
      <c r="P227" s="159"/>
      <c r="Q227" s="159"/>
      <c r="R227" s="159"/>
      <c r="S227" s="176"/>
      <c r="T227" s="176"/>
      <c r="U227" s="176"/>
      <c r="V227" s="176"/>
    </row>
    <row r="228" spans="1:22" s="95" customFormat="1" ht="31.5" customHeight="1">
      <c r="A228" s="155" t="s">
        <v>101</v>
      </c>
      <c r="B228" s="165" t="s">
        <v>301</v>
      </c>
      <c r="C228" s="168"/>
      <c r="D228" s="168"/>
      <c r="E228" s="168"/>
      <c r="F228" s="168"/>
      <c r="G228" s="144">
        <v>50000</v>
      </c>
      <c r="H228" s="144"/>
      <c r="I228" s="144"/>
      <c r="J228" s="144"/>
      <c r="K228" s="144"/>
      <c r="L228" s="144">
        <f>SUM(M228:Q228)</f>
        <v>50000</v>
      </c>
      <c r="M228" s="144"/>
      <c r="N228" s="144"/>
      <c r="O228" s="144"/>
      <c r="P228" s="144">
        <v>50000</v>
      </c>
      <c r="Q228" s="144"/>
      <c r="R228" s="144"/>
      <c r="S228" s="131"/>
      <c r="T228" s="131"/>
      <c r="U228" s="131"/>
      <c r="V228" s="131"/>
    </row>
    <row r="229" spans="1:18" s="10" customFormat="1" ht="21.75" customHeight="1">
      <c r="A229" s="155" t="s">
        <v>102</v>
      </c>
      <c r="B229" s="167" t="s">
        <v>103</v>
      </c>
      <c r="C229" s="168"/>
      <c r="D229" s="168"/>
      <c r="E229" s="168"/>
      <c r="F229" s="168"/>
      <c r="G229" s="144"/>
      <c r="H229" s="144"/>
      <c r="I229" s="144"/>
      <c r="J229" s="144"/>
      <c r="K229" s="144"/>
      <c r="L229" s="144">
        <f>SUM(M229:Q229)</f>
        <v>0</v>
      </c>
      <c r="M229" s="144"/>
      <c r="N229" s="144"/>
      <c r="O229" s="144"/>
      <c r="P229" s="144"/>
      <c r="Q229" s="144"/>
      <c r="R229" s="144"/>
    </row>
    <row r="230" spans="1:18" s="10" customFormat="1" ht="21.75" customHeight="1">
      <c r="A230" s="155" t="s">
        <v>104</v>
      </c>
      <c r="B230" s="167" t="s">
        <v>300</v>
      </c>
      <c r="C230" s="168"/>
      <c r="D230" s="168"/>
      <c r="E230" s="168"/>
      <c r="F230" s="168"/>
      <c r="G230" s="144">
        <f>185000</f>
        <v>185000</v>
      </c>
      <c r="H230" s="144"/>
      <c r="I230" s="144"/>
      <c r="J230" s="144"/>
      <c r="K230" s="144"/>
      <c r="L230" s="144">
        <f>SUM(M230:Q230)</f>
        <v>0</v>
      </c>
      <c r="M230" s="144"/>
      <c r="N230" s="144"/>
      <c r="O230" s="144"/>
      <c r="P230" s="144"/>
      <c r="Q230" s="144"/>
      <c r="R230" s="144"/>
    </row>
    <row r="231" spans="1:18" s="10" customFormat="1" ht="21" customHeight="1">
      <c r="A231" s="139" t="s">
        <v>105</v>
      </c>
      <c r="B231" s="158" t="s">
        <v>277</v>
      </c>
      <c r="C231" s="153"/>
      <c r="D231" s="153"/>
      <c r="E231" s="153"/>
      <c r="F231" s="153"/>
      <c r="G231" s="140">
        <f>5010000-G230-G229-G228-G226-G225-G224-G223-G218</f>
        <v>187980</v>
      </c>
      <c r="H231" s="140"/>
      <c r="I231" s="140"/>
      <c r="J231" s="140"/>
      <c r="K231" s="140"/>
      <c r="L231" s="140">
        <f t="shared" si="61"/>
        <v>0</v>
      </c>
      <c r="M231" s="140"/>
      <c r="N231" s="140"/>
      <c r="O231" s="140"/>
      <c r="P231" s="140"/>
      <c r="Q231" s="140"/>
      <c r="R231" s="140"/>
    </row>
    <row r="232" spans="1:18" s="10" customFormat="1" ht="21.75" customHeight="1">
      <c r="A232" s="155">
        <v>4</v>
      </c>
      <c r="B232" s="167" t="s">
        <v>315</v>
      </c>
      <c r="C232" s="168"/>
      <c r="D232" s="168"/>
      <c r="E232" s="168"/>
      <c r="F232" s="168"/>
      <c r="G232" s="144">
        <v>1200000</v>
      </c>
      <c r="H232" s="144"/>
      <c r="I232" s="144"/>
      <c r="J232" s="144"/>
      <c r="K232" s="144"/>
      <c r="L232" s="144"/>
      <c r="M232" s="144"/>
      <c r="N232" s="144"/>
      <c r="O232" s="144"/>
      <c r="P232" s="144"/>
      <c r="Q232" s="144"/>
      <c r="R232" s="144"/>
    </row>
    <row r="233" spans="1:18" s="10" customFormat="1" ht="22.5" customHeight="1">
      <c r="A233" s="155">
        <v>5</v>
      </c>
      <c r="B233" s="172" t="s">
        <v>533</v>
      </c>
      <c r="C233" s="168">
        <f>C234+C235+C243</f>
        <v>15</v>
      </c>
      <c r="D233" s="168">
        <f>D234+D235+D243</f>
        <v>0</v>
      </c>
      <c r="E233" s="168">
        <f>E234+E235+E243</f>
        <v>0</v>
      </c>
      <c r="F233" s="168">
        <f>F234+F235+F243</f>
        <v>15</v>
      </c>
      <c r="G233" s="144">
        <f>G234+G235+G243+G244</f>
        <v>1566000</v>
      </c>
      <c r="H233" s="144">
        <f aca="true" t="shared" si="62" ref="H233:R233">H234+H235+H243+H244</f>
        <v>1566000</v>
      </c>
      <c r="I233" s="144">
        <f t="shared" si="62"/>
        <v>1265000</v>
      </c>
      <c r="J233" s="144">
        <f t="shared" si="62"/>
        <v>301000</v>
      </c>
      <c r="K233" s="144">
        <f t="shared" si="62"/>
        <v>0</v>
      </c>
      <c r="L233" s="144">
        <f t="shared" si="62"/>
        <v>0</v>
      </c>
      <c r="M233" s="144">
        <f t="shared" si="62"/>
        <v>0</v>
      </c>
      <c r="N233" s="144">
        <f t="shared" si="62"/>
        <v>0</v>
      </c>
      <c r="O233" s="144">
        <f t="shared" si="62"/>
        <v>0</v>
      </c>
      <c r="P233" s="144">
        <f t="shared" si="62"/>
        <v>0</v>
      </c>
      <c r="Q233" s="144">
        <f t="shared" si="62"/>
        <v>0</v>
      </c>
      <c r="R233" s="144">
        <f t="shared" si="62"/>
        <v>0</v>
      </c>
    </row>
    <row r="234" spans="1:22" s="95" customFormat="1" ht="21" customHeight="1">
      <c r="A234" s="155" t="s">
        <v>316</v>
      </c>
      <c r="B234" s="171" t="s">
        <v>475</v>
      </c>
      <c r="C234" s="168">
        <f>SUM(D234:F234)</f>
        <v>7</v>
      </c>
      <c r="D234" s="168"/>
      <c r="E234" s="168"/>
      <c r="F234" s="168">
        <v>7</v>
      </c>
      <c r="G234" s="144">
        <f>H234+L234+R234</f>
        <v>780000</v>
      </c>
      <c r="H234" s="144">
        <f>SUM(I234:K234)</f>
        <v>780000</v>
      </c>
      <c r="I234" s="144">
        <v>633000</v>
      </c>
      <c r="J234" s="144">
        <f>F234*21000</f>
        <v>147000</v>
      </c>
      <c r="K234" s="144"/>
      <c r="L234" s="144">
        <f t="shared" si="61"/>
        <v>0</v>
      </c>
      <c r="M234" s="144"/>
      <c r="N234" s="144"/>
      <c r="O234" s="144"/>
      <c r="P234" s="144"/>
      <c r="Q234" s="144"/>
      <c r="R234" s="144"/>
      <c r="S234" s="131"/>
      <c r="T234" s="131"/>
      <c r="U234" s="131"/>
      <c r="V234" s="131"/>
    </row>
    <row r="235" spans="1:18" s="10" customFormat="1" ht="21.75" customHeight="1">
      <c r="A235" s="155" t="s">
        <v>317</v>
      </c>
      <c r="B235" s="171" t="s">
        <v>478</v>
      </c>
      <c r="C235" s="168">
        <f aca="true" t="shared" si="63" ref="C235:R235">SUM(C236:C242)</f>
        <v>8</v>
      </c>
      <c r="D235" s="168">
        <f t="shared" si="63"/>
        <v>0</v>
      </c>
      <c r="E235" s="168">
        <f t="shared" si="63"/>
        <v>0</v>
      </c>
      <c r="F235" s="168">
        <f t="shared" si="63"/>
        <v>8</v>
      </c>
      <c r="G235" s="178">
        <f t="shared" si="63"/>
        <v>786000</v>
      </c>
      <c r="H235" s="178">
        <f t="shared" si="63"/>
        <v>786000</v>
      </c>
      <c r="I235" s="178">
        <f t="shared" si="63"/>
        <v>632000</v>
      </c>
      <c r="J235" s="178">
        <f t="shared" si="63"/>
        <v>154000</v>
      </c>
      <c r="K235" s="178">
        <f t="shared" si="63"/>
        <v>0</v>
      </c>
      <c r="L235" s="178">
        <f t="shared" si="63"/>
        <v>0</v>
      </c>
      <c r="M235" s="178">
        <f t="shared" si="63"/>
        <v>0</v>
      </c>
      <c r="N235" s="178">
        <f t="shared" si="63"/>
        <v>0</v>
      </c>
      <c r="O235" s="178">
        <f t="shared" si="63"/>
        <v>0</v>
      </c>
      <c r="P235" s="178">
        <f t="shared" si="63"/>
        <v>0</v>
      </c>
      <c r="Q235" s="178">
        <f t="shared" si="63"/>
        <v>0</v>
      </c>
      <c r="R235" s="178">
        <f t="shared" si="63"/>
        <v>0</v>
      </c>
    </row>
    <row r="236" spans="1:22" s="93" customFormat="1" ht="21" customHeight="1">
      <c r="A236" s="146" t="s">
        <v>4</v>
      </c>
      <c r="B236" s="147" t="s">
        <v>76</v>
      </c>
      <c r="C236" s="153">
        <f aca="true" t="shared" si="64" ref="C236:C242">SUM(D236:F236)</f>
        <v>1</v>
      </c>
      <c r="D236" s="153"/>
      <c r="E236" s="153"/>
      <c r="F236" s="153">
        <v>1</v>
      </c>
      <c r="G236" s="140">
        <f aca="true" t="shared" si="65" ref="G236:G243">H236+L236+R236</f>
        <v>100000</v>
      </c>
      <c r="H236" s="140">
        <f aca="true" t="shared" si="66" ref="H236:H244">SUM(I236:K236)</f>
        <v>100000</v>
      </c>
      <c r="I236" s="140">
        <f aca="true" t="shared" si="67" ref="I236:I242">F236*79000</f>
        <v>79000</v>
      </c>
      <c r="J236" s="140">
        <f>F236*21000</f>
        <v>21000</v>
      </c>
      <c r="K236" s="140"/>
      <c r="L236" s="140">
        <f t="shared" si="61"/>
        <v>0</v>
      </c>
      <c r="M236" s="140"/>
      <c r="N236" s="140"/>
      <c r="O236" s="140"/>
      <c r="P236" s="140"/>
      <c r="Q236" s="140"/>
      <c r="R236" s="140"/>
      <c r="S236" s="130"/>
      <c r="T236" s="130"/>
      <c r="U236" s="130"/>
      <c r="V236" s="130"/>
    </row>
    <row r="237" spans="1:22" s="93" customFormat="1" ht="21" customHeight="1">
      <c r="A237" s="146" t="s">
        <v>4</v>
      </c>
      <c r="B237" s="147" t="s">
        <v>81</v>
      </c>
      <c r="C237" s="153">
        <f t="shared" si="64"/>
        <v>2</v>
      </c>
      <c r="D237" s="153"/>
      <c r="E237" s="153"/>
      <c r="F237" s="153">
        <v>2</v>
      </c>
      <c r="G237" s="140">
        <f t="shared" si="65"/>
        <v>196000</v>
      </c>
      <c r="H237" s="140">
        <f t="shared" si="66"/>
        <v>196000</v>
      </c>
      <c r="I237" s="140">
        <f t="shared" si="67"/>
        <v>158000</v>
      </c>
      <c r="J237" s="140">
        <f aca="true" t="shared" si="68" ref="J237:J242">F237*19000</f>
        <v>38000</v>
      </c>
      <c r="K237" s="140"/>
      <c r="L237" s="140">
        <f t="shared" si="61"/>
        <v>0</v>
      </c>
      <c r="M237" s="140"/>
      <c r="N237" s="140"/>
      <c r="O237" s="140"/>
      <c r="P237" s="140"/>
      <c r="Q237" s="140"/>
      <c r="R237" s="140"/>
      <c r="S237" s="130"/>
      <c r="T237" s="130"/>
      <c r="U237" s="130"/>
      <c r="V237" s="130"/>
    </row>
    <row r="238" spans="1:22" s="93" customFormat="1" ht="19.5" customHeight="1">
      <c r="A238" s="146" t="s">
        <v>4</v>
      </c>
      <c r="B238" s="147" t="s">
        <v>9</v>
      </c>
      <c r="C238" s="153">
        <f t="shared" si="64"/>
        <v>1</v>
      </c>
      <c r="D238" s="153"/>
      <c r="E238" s="153"/>
      <c r="F238" s="160">
        <v>1</v>
      </c>
      <c r="G238" s="140">
        <f t="shared" si="65"/>
        <v>98000</v>
      </c>
      <c r="H238" s="140">
        <f t="shared" si="66"/>
        <v>98000</v>
      </c>
      <c r="I238" s="140">
        <f t="shared" si="67"/>
        <v>79000</v>
      </c>
      <c r="J238" s="140">
        <f t="shared" si="68"/>
        <v>19000</v>
      </c>
      <c r="K238" s="140"/>
      <c r="L238" s="140">
        <f t="shared" si="61"/>
        <v>0</v>
      </c>
      <c r="M238" s="140"/>
      <c r="N238" s="140"/>
      <c r="O238" s="140"/>
      <c r="P238" s="140"/>
      <c r="Q238" s="140"/>
      <c r="R238" s="140"/>
      <c r="S238" s="130"/>
      <c r="T238" s="130"/>
      <c r="U238" s="130"/>
      <c r="V238" s="130"/>
    </row>
    <row r="239" spans="1:22" s="93" customFormat="1" ht="22.5" customHeight="1">
      <c r="A239" s="146" t="s">
        <v>4</v>
      </c>
      <c r="B239" s="147" t="s">
        <v>8</v>
      </c>
      <c r="C239" s="153">
        <f t="shared" si="64"/>
        <v>1</v>
      </c>
      <c r="D239" s="153"/>
      <c r="E239" s="153"/>
      <c r="F239" s="160">
        <v>1</v>
      </c>
      <c r="G239" s="140">
        <f t="shared" si="65"/>
        <v>98000</v>
      </c>
      <c r="H239" s="140">
        <f t="shared" si="66"/>
        <v>98000</v>
      </c>
      <c r="I239" s="140">
        <f t="shared" si="67"/>
        <v>79000</v>
      </c>
      <c r="J239" s="140">
        <f t="shared" si="68"/>
        <v>19000</v>
      </c>
      <c r="K239" s="140"/>
      <c r="L239" s="140">
        <f t="shared" si="61"/>
        <v>0</v>
      </c>
      <c r="M239" s="140">
        <v>0</v>
      </c>
      <c r="N239" s="140"/>
      <c r="O239" s="140"/>
      <c r="P239" s="140">
        <v>0</v>
      </c>
      <c r="Q239" s="140">
        <v>0</v>
      </c>
      <c r="R239" s="140">
        <v>0</v>
      </c>
      <c r="S239" s="130"/>
      <c r="T239" s="130"/>
      <c r="U239" s="130"/>
      <c r="V239" s="130"/>
    </row>
    <row r="240" spans="1:22" s="93" customFormat="1" ht="20.25" customHeight="1">
      <c r="A240" s="146" t="s">
        <v>4</v>
      </c>
      <c r="B240" s="147" t="s">
        <v>35</v>
      </c>
      <c r="C240" s="153">
        <f t="shared" si="64"/>
        <v>1</v>
      </c>
      <c r="D240" s="153"/>
      <c r="E240" s="153"/>
      <c r="F240" s="160">
        <v>1</v>
      </c>
      <c r="G240" s="140">
        <f t="shared" si="65"/>
        <v>98000</v>
      </c>
      <c r="H240" s="140">
        <f t="shared" si="66"/>
        <v>98000</v>
      </c>
      <c r="I240" s="140">
        <f t="shared" si="67"/>
        <v>79000</v>
      </c>
      <c r="J240" s="140">
        <f t="shared" si="68"/>
        <v>19000</v>
      </c>
      <c r="K240" s="140"/>
      <c r="L240" s="140">
        <f t="shared" si="61"/>
        <v>0</v>
      </c>
      <c r="M240" s="140"/>
      <c r="N240" s="140"/>
      <c r="O240" s="140"/>
      <c r="P240" s="140"/>
      <c r="Q240" s="140"/>
      <c r="R240" s="140"/>
      <c r="S240" s="130"/>
      <c r="T240" s="130"/>
      <c r="U240" s="130"/>
      <c r="V240" s="130"/>
    </row>
    <row r="241" spans="1:22" s="93" customFormat="1" ht="20.25" customHeight="1">
      <c r="A241" s="146" t="s">
        <v>4</v>
      </c>
      <c r="B241" s="147" t="s">
        <v>85</v>
      </c>
      <c r="C241" s="153">
        <f t="shared" si="64"/>
        <v>1</v>
      </c>
      <c r="D241" s="153"/>
      <c r="E241" s="153"/>
      <c r="F241" s="160">
        <v>1</v>
      </c>
      <c r="G241" s="140">
        <f t="shared" si="65"/>
        <v>98000</v>
      </c>
      <c r="H241" s="140">
        <f t="shared" si="66"/>
        <v>98000</v>
      </c>
      <c r="I241" s="140">
        <f t="shared" si="67"/>
        <v>79000</v>
      </c>
      <c r="J241" s="140">
        <f t="shared" si="68"/>
        <v>19000</v>
      </c>
      <c r="K241" s="140"/>
      <c r="L241" s="140">
        <f t="shared" si="61"/>
        <v>0</v>
      </c>
      <c r="M241" s="140"/>
      <c r="N241" s="140"/>
      <c r="O241" s="140"/>
      <c r="P241" s="140"/>
      <c r="Q241" s="140"/>
      <c r="R241" s="140"/>
      <c r="S241" s="130"/>
      <c r="T241" s="130"/>
      <c r="U241" s="130"/>
      <c r="V241" s="130"/>
    </row>
    <row r="242" spans="1:22" s="93" customFormat="1" ht="21" customHeight="1">
      <c r="A242" s="146" t="s">
        <v>4</v>
      </c>
      <c r="B242" s="147" t="s">
        <v>87</v>
      </c>
      <c r="C242" s="153">
        <f t="shared" si="64"/>
        <v>1</v>
      </c>
      <c r="D242" s="153"/>
      <c r="E242" s="153"/>
      <c r="F242" s="160">
        <v>1</v>
      </c>
      <c r="G242" s="140">
        <f t="shared" si="65"/>
        <v>98000</v>
      </c>
      <c r="H242" s="140">
        <f t="shared" si="66"/>
        <v>98000</v>
      </c>
      <c r="I242" s="140">
        <f t="shared" si="67"/>
        <v>79000</v>
      </c>
      <c r="J242" s="140">
        <f t="shared" si="68"/>
        <v>19000</v>
      </c>
      <c r="K242" s="140"/>
      <c r="L242" s="140">
        <f t="shared" si="61"/>
        <v>0</v>
      </c>
      <c r="M242" s="140"/>
      <c r="N242" s="140"/>
      <c r="O242" s="140"/>
      <c r="P242" s="140"/>
      <c r="Q242" s="140"/>
      <c r="R242" s="140"/>
      <c r="S242" s="130"/>
      <c r="T242" s="130"/>
      <c r="U242" s="130"/>
      <c r="V242" s="130"/>
    </row>
    <row r="243" spans="1:18" s="10" customFormat="1" ht="21.75" customHeight="1">
      <c r="A243" s="139" t="s">
        <v>318</v>
      </c>
      <c r="B243" s="147" t="s">
        <v>90</v>
      </c>
      <c r="C243" s="153">
        <f>SUM(D243:F243)</f>
        <v>0</v>
      </c>
      <c r="D243" s="153"/>
      <c r="E243" s="153"/>
      <c r="F243" s="153"/>
      <c r="G243" s="140">
        <f t="shared" si="65"/>
        <v>0</v>
      </c>
      <c r="H243" s="140">
        <f t="shared" si="66"/>
        <v>0</v>
      </c>
      <c r="I243" s="140">
        <f>F243*88600</f>
        <v>0</v>
      </c>
      <c r="J243" s="140">
        <f>F243*21000</f>
        <v>0</v>
      </c>
      <c r="K243" s="140"/>
      <c r="L243" s="140">
        <f t="shared" si="61"/>
        <v>0</v>
      </c>
      <c r="M243" s="140"/>
      <c r="N243" s="140"/>
      <c r="O243" s="140"/>
      <c r="P243" s="140"/>
      <c r="Q243" s="140"/>
      <c r="R243" s="140"/>
    </row>
    <row r="244" spans="1:18" s="10" customFormat="1" ht="23.25" customHeight="1">
      <c r="A244" s="155" t="s">
        <v>319</v>
      </c>
      <c r="B244" s="156" t="s">
        <v>277</v>
      </c>
      <c r="C244" s="168"/>
      <c r="D244" s="168"/>
      <c r="E244" s="168"/>
      <c r="F244" s="168"/>
      <c r="G244" s="144">
        <f>1566000-G243-G234-G235</f>
        <v>0</v>
      </c>
      <c r="H244" s="144">
        <f t="shared" si="66"/>
        <v>0</v>
      </c>
      <c r="I244" s="144"/>
      <c r="J244" s="144"/>
      <c r="K244" s="144"/>
      <c r="L244" s="143"/>
      <c r="M244" s="144"/>
      <c r="N244" s="144"/>
      <c r="O244" s="144"/>
      <c r="P244" s="144"/>
      <c r="Q244" s="144"/>
      <c r="R244" s="144"/>
    </row>
    <row r="245" spans="1:18" s="10" customFormat="1" ht="21.75" customHeight="1">
      <c r="A245" s="155">
        <v>6</v>
      </c>
      <c r="B245" s="167" t="s">
        <v>106</v>
      </c>
      <c r="C245" s="168">
        <f>SUM(D245:F245)</f>
        <v>195</v>
      </c>
      <c r="D245" s="168"/>
      <c r="E245" s="168">
        <v>195</v>
      </c>
      <c r="F245" s="168"/>
      <c r="G245" s="144">
        <v>38593000</v>
      </c>
      <c r="H245" s="144"/>
      <c r="I245" s="144"/>
      <c r="J245" s="144"/>
      <c r="K245" s="144"/>
      <c r="L245" s="144">
        <f t="shared" si="61"/>
        <v>190000</v>
      </c>
      <c r="M245" s="144"/>
      <c r="N245" s="144"/>
      <c r="O245" s="144"/>
      <c r="P245" s="144"/>
      <c r="Q245" s="144">
        <f>'[1]PL 07 TH chi xa'!$K$56</f>
        <v>190000</v>
      </c>
      <c r="R245" s="144"/>
    </row>
    <row r="246" spans="1:18" s="10" customFormat="1" ht="21.75" customHeight="1">
      <c r="A246" s="139" t="s">
        <v>4</v>
      </c>
      <c r="B246" s="161" t="s">
        <v>385</v>
      </c>
      <c r="C246" s="153"/>
      <c r="D246" s="153"/>
      <c r="E246" s="153"/>
      <c r="F246" s="153"/>
      <c r="G246" s="191" t="s">
        <v>650</v>
      </c>
      <c r="H246" s="140"/>
      <c r="I246" s="140"/>
      <c r="J246" s="140"/>
      <c r="K246" s="140"/>
      <c r="L246" s="140"/>
      <c r="M246" s="140"/>
      <c r="N246" s="140"/>
      <c r="O246" s="140"/>
      <c r="P246" s="140"/>
      <c r="Q246" s="140"/>
      <c r="R246" s="140"/>
    </row>
    <row r="247" spans="1:18" s="10" customFormat="1" ht="20.25" customHeight="1">
      <c r="A247" s="139" t="s">
        <v>4</v>
      </c>
      <c r="B247" s="161" t="s">
        <v>277</v>
      </c>
      <c r="C247" s="153"/>
      <c r="D247" s="153"/>
      <c r="E247" s="153"/>
      <c r="F247" s="153"/>
      <c r="G247" s="191" t="s">
        <v>651</v>
      </c>
      <c r="H247" s="140"/>
      <c r="I247" s="140"/>
      <c r="J247" s="140"/>
      <c r="K247" s="140"/>
      <c r="L247" s="140"/>
      <c r="M247" s="140"/>
      <c r="N247" s="140"/>
      <c r="O247" s="140"/>
      <c r="P247" s="140"/>
      <c r="Q247" s="140"/>
      <c r="R247" s="140"/>
    </row>
    <row r="248" spans="1:18" s="11" customFormat="1" ht="21.75" customHeight="1">
      <c r="A248" s="97" t="s">
        <v>107</v>
      </c>
      <c r="B248" s="23" t="s">
        <v>108</v>
      </c>
      <c r="C248" s="151">
        <f>SUM(C249:C255)</f>
        <v>5</v>
      </c>
      <c r="D248" s="151">
        <f>SUM(D249:D255)</f>
        <v>0</v>
      </c>
      <c r="E248" s="151">
        <f>SUM(E249:E255)</f>
        <v>5</v>
      </c>
      <c r="F248" s="151">
        <f>SUM(F249:F255)</f>
        <v>0</v>
      </c>
      <c r="G248" s="138">
        <f>SUM(G249:G255)</f>
        <v>2214000</v>
      </c>
      <c r="H248" s="138">
        <f aca="true" t="shared" si="69" ref="H248:R248">SUM(H249:H255)</f>
        <v>715000</v>
      </c>
      <c r="I248" s="138">
        <f t="shared" si="69"/>
        <v>600000</v>
      </c>
      <c r="J248" s="138">
        <f t="shared" si="69"/>
        <v>105000</v>
      </c>
      <c r="K248" s="138">
        <f>SUM(K249:K255)</f>
        <v>10000</v>
      </c>
      <c r="L248" s="138">
        <f t="shared" si="69"/>
        <v>1413200</v>
      </c>
      <c r="M248" s="138">
        <f t="shared" si="69"/>
        <v>0</v>
      </c>
      <c r="N248" s="138">
        <f t="shared" si="69"/>
        <v>1210000</v>
      </c>
      <c r="O248" s="138">
        <f t="shared" si="69"/>
        <v>180000</v>
      </c>
      <c r="P248" s="138">
        <f t="shared" si="69"/>
        <v>23200</v>
      </c>
      <c r="Q248" s="138">
        <f t="shared" si="69"/>
        <v>0</v>
      </c>
      <c r="R248" s="138">
        <f t="shared" si="69"/>
        <v>0</v>
      </c>
    </row>
    <row r="249" spans="1:22" s="95" customFormat="1" ht="19.5" customHeight="1">
      <c r="A249" s="139">
        <v>1</v>
      </c>
      <c r="B249" s="134" t="s">
        <v>401</v>
      </c>
      <c r="C249" s="151">
        <f>SUM(D249:F249)</f>
        <v>5</v>
      </c>
      <c r="D249" s="153"/>
      <c r="E249" s="153">
        <v>5</v>
      </c>
      <c r="F249" s="153"/>
      <c r="G249" s="140">
        <f aca="true" t="shared" si="70" ref="G249:G254">H249+L249+R249</f>
        <v>748200</v>
      </c>
      <c r="H249" s="140">
        <f>SUM(I249:K249)</f>
        <v>715000</v>
      </c>
      <c r="I249" s="140">
        <v>600000</v>
      </c>
      <c r="J249" s="140">
        <f>+C249*21000</f>
        <v>105000</v>
      </c>
      <c r="K249" s="140">
        <v>10000</v>
      </c>
      <c r="L249" s="140">
        <f aca="true" t="shared" si="71" ref="L249:L255">SUM(M249:Q249)</f>
        <v>33200</v>
      </c>
      <c r="M249" s="140"/>
      <c r="N249" s="140"/>
      <c r="O249" s="140">
        <v>10000</v>
      </c>
      <c r="P249" s="140">
        <v>23200</v>
      </c>
      <c r="Q249" s="140"/>
      <c r="R249" s="140"/>
      <c r="S249" s="131"/>
      <c r="T249" s="131"/>
      <c r="U249" s="131"/>
      <c r="V249" s="131"/>
    </row>
    <row r="250" spans="1:22" s="95" customFormat="1" ht="31.5" customHeight="1">
      <c r="A250" s="139">
        <v>2</v>
      </c>
      <c r="B250" s="134" t="s">
        <v>109</v>
      </c>
      <c r="C250" s="151"/>
      <c r="D250" s="153"/>
      <c r="E250" s="153"/>
      <c r="F250" s="153"/>
      <c r="G250" s="140">
        <f t="shared" si="70"/>
        <v>50000</v>
      </c>
      <c r="H250" s="140"/>
      <c r="I250" s="140"/>
      <c r="J250" s="140"/>
      <c r="K250" s="140"/>
      <c r="L250" s="140">
        <f t="shared" si="71"/>
        <v>50000</v>
      </c>
      <c r="M250" s="140"/>
      <c r="N250" s="140"/>
      <c r="O250" s="140">
        <v>50000</v>
      </c>
      <c r="P250" s="140"/>
      <c r="Q250" s="140"/>
      <c r="R250" s="140"/>
      <c r="S250" s="131"/>
      <c r="T250" s="131"/>
      <c r="U250" s="131"/>
      <c r="V250" s="131"/>
    </row>
    <row r="251" spans="1:22" s="95" customFormat="1" ht="20.25" customHeight="1">
      <c r="A251" s="139">
        <v>3</v>
      </c>
      <c r="B251" s="161" t="s">
        <v>110</v>
      </c>
      <c r="C251" s="153"/>
      <c r="D251" s="153"/>
      <c r="E251" s="153"/>
      <c r="F251" s="153"/>
      <c r="G251" s="140">
        <f t="shared" si="70"/>
        <v>120000</v>
      </c>
      <c r="H251" s="140"/>
      <c r="I251" s="140"/>
      <c r="J251" s="140"/>
      <c r="K251" s="140"/>
      <c r="L251" s="140">
        <f t="shared" si="71"/>
        <v>120000</v>
      </c>
      <c r="M251" s="140"/>
      <c r="N251" s="140"/>
      <c r="O251" s="140">
        <v>120000</v>
      </c>
      <c r="P251" s="140"/>
      <c r="Q251" s="140"/>
      <c r="R251" s="140"/>
      <c r="S251" s="131"/>
      <c r="T251" s="131"/>
      <c r="U251" s="131"/>
      <c r="V251" s="131"/>
    </row>
    <row r="252" spans="1:22" s="95" customFormat="1" ht="19.5" customHeight="1">
      <c r="A252" s="139">
        <v>4</v>
      </c>
      <c r="B252" s="158" t="s">
        <v>111</v>
      </c>
      <c r="C252" s="153"/>
      <c r="D252" s="153"/>
      <c r="E252" s="153"/>
      <c r="F252" s="153"/>
      <c r="G252" s="140">
        <f t="shared" si="70"/>
        <v>330000</v>
      </c>
      <c r="H252" s="140"/>
      <c r="I252" s="140"/>
      <c r="J252" s="140"/>
      <c r="K252" s="140"/>
      <c r="L252" s="140">
        <f t="shared" si="71"/>
        <v>330000</v>
      </c>
      <c r="M252" s="140"/>
      <c r="N252" s="140">
        <v>330000</v>
      </c>
      <c r="O252" s="140"/>
      <c r="P252" s="140"/>
      <c r="Q252" s="140"/>
      <c r="R252" s="140"/>
      <c r="S252" s="131"/>
      <c r="T252" s="131"/>
      <c r="U252" s="131"/>
      <c r="V252" s="131"/>
    </row>
    <row r="253" spans="1:22" s="95" customFormat="1" ht="20.25" customHeight="1">
      <c r="A253" s="139">
        <v>5</v>
      </c>
      <c r="B253" s="158" t="s">
        <v>281</v>
      </c>
      <c r="C253" s="153"/>
      <c r="D253" s="153"/>
      <c r="E253" s="153"/>
      <c r="F253" s="153"/>
      <c r="G253" s="140">
        <f t="shared" si="70"/>
        <v>510000</v>
      </c>
      <c r="H253" s="140"/>
      <c r="I253" s="140"/>
      <c r="J253" s="140"/>
      <c r="K253" s="140"/>
      <c r="L253" s="140">
        <f t="shared" si="71"/>
        <v>510000</v>
      </c>
      <c r="M253" s="140"/>
      <c r="N253" s="140">
        <v>510000</v>
      </c>
      <c r="O253" s="140"/>
      <c r="P253" s="140"/>
      <c r="Q253" s="140"/>
      <c r="R253" s="140"/>
      <c r="S253" s="131"/>
      <c r="T253" s="131"/>
      <c r="U253" s="131"/>
      <c r="V253" s="131"/>
    </row>
    <row r="254" spans="1:22" s="95" customFormat="1" ht="21" customHeight="1">
      <c r="A254" s="139">
        <v>6</v>
      </c>
      <c r="B254" s="134" t="s">
        <v>112</v>
      </c>
      <c r="C254" s="153"/>
      <c r="D254" s="153"/>
      <c r="E254" s="153"/>
      <c r="F254" s="153"/>
      <c r="G254" s="140">
        <f t="shared" si="70"/>
        <v>370000</v>
      </c>
      <c r="H254" s="140"/>
      <c r="I254" s="140"/>
      <c r="J254" s="140"/>
      <c r="K254" s="140"/>
      <c r="L254" s="140">
        <f t="shared" si="71"/>
        <v>370000</v>
      </c>
      <c r="M254" s="140"/>
      <c r="N254" s="140">
        <v>370000</v>
      </c>
      <c r="O254" s="140"/>
      <c r="P254" s="140"/>
      <c r="Q254" s="140"/>
      <c r="R254" s="140"/>
      <c r="S254" s="131"/>
      <c r="T254" s="131"/>
      <c r="U254" s="131"/>
      <c r="V254" s="131"/>
    </row>
    <row r="255" spans="1:22" s="95" customFormat="1" ht="21" customHeight="1">
      <c r="A255" s="139">
        <v>7</v>
      </c>
      <c r="B255" s="158" t="s">
        <v>277</v>
      </c>
      <c r="C255" s="153"/>
      <c r="D255" s="153"/>
      <c r="E255" s="153"/>
      <c r="F255" s="153"/>
      <c r="G255" s="140">
        <f>2214000-G254-G253-G252-G251-G249-G250</f>
        <v>85800</v>
      </c>
      <c r="H255" s="140"/>
      <c r="I255" s="140"/>
      <c r="J255" s="140"/>
      <c r="K255" s="140"/>
      <c r="L255" s="140">
        <f t="shared" si="71"/>
        <v>0</v>
      </c>
      <c r="M255" s="140"/>
      <c r="N255" s="140"/>
      <c r="O255" s="140"/>
      <c r="P255" s="140"/>
      <c r="Q255" s="140"/>
      <c r="R255" s="140"/>
      <c r="S255" s="131"/>
      <c r="T255" s="131"/>
      <c r="U255" s="131"/>
      <c r="V255" s="131"/>
    </row>
    <row r="256" spans="1:20" ht="21.75" customHeight="1">
      <c r="A256" s="97" t="s">
        <v>113</v>
      </c>
      <c r="B256" s="23" t="s">
        <v>202</v>
      </c>
      <c r="C256" s="139"/>
      <c r="D256" s="139"/>
      <c r="E256" s="139"/>
      <c r="F256" s="139"/>
      <c r="G256" s="180" t="s">
        <v>652</v>
      </c>
      <c r="H256" s="138">
        <f aca="true" t="shared" si="72" ref="H256:R256">H257+H258+H261+H262+H270</f>
        <v>0</v>
      </c>
      <c r="I256" s="138">
        <f t="shared" si="72"/>
        <v>0</v>
      </c>
      <c r="J256" s="138">
        <f t="shared" si="72"/>
        <v>0</v>
      </c>
      <c r="K256" s="138">
        <f t="shared" si="72"/>
        <v>0</v>
      </c>
      <c r="L256" s="180" t="s">
        <v>657</v>
      </c>
      <c r="M256" s="180" t="s">
        <v>658</v>
      </c>
      <c r="N256" s="138">
        <f t="shared" si="72"/>
        <v>0</v>
      </c>
      <c r="O256" s="138">
        <f t="shared" si="72"/>
        <v>0</v>
      </c>
      <c r="P256" s="180" t="s">
        <v>664</v>
      </c>
      <c r="Q256" s="138">
        <f t="shared" si="72"/>
        <v>0</v>
      </c>
      <c r="R256" s="138">
        <f t="shared" si="72"/>
        <v>0</v>
      </c>
      <c r="S256" s="4"/>
      <c r="T256" s="4"/>
    </row>
    <row r="257" spans="1:22" s="95" customFormat="1" ht="20.25" customHeight="1">
      <c r="A257" s="139">
        <v>1</v>
      </c>
      <c r="B257" s="158" t="s">
        <v>497</v>
      </c>
      <c r="C257" s="153"/>
      <c r="D257" s="153"/>
      <c r="E257" s="153"/>
      <c r="F257" s="153"/>
      <c r="G257" s="191" t="s">
        <v>653</v>
      </c>
      <c r="H257" s="140">
        <f>SUM(I257:K257)</f>
        <v>0</v>
      </c>
      <c r="I257" s="140"/>
      <c r="J257" s="140"/>
      <c r="K257" s="140"/>
      <c r="L257" s="191" t="s">
        <v>653</v>
      </c>
      <c r="M257" s="191" t="s">
        <v>653</v>
      </c>
      <c r="N257" s="140"/>
      <c r="O257" s="140"/>
      <c r="P257" s="140"/>
      <c r="Q257" s="140"/>
      <c r="R257" s="140"/>
      <c r="S257" s="131"/>
      <c r="T257" s="131"/>
      <c r="U257" s="131"/>
      <c r="V257" s="131"/>
    </row>
    <row r="258" spans="1:18" s="10" customFormat="1" ht="23.25" customHeight="1">
      <c r="A258" s="155">
        <v>2</v>
      </c>
      <c r="B258" s="167" t="s">
        <v>115</v>
      </c>
      <c r="C258" s="168"/>
      <c r="D258" s="168"/>
      <c r="E258" s="168"/>
      <c r="F258" s="168"/>
      <c r="G258" s="193" t="s">
        <v>654</v>
      </c>
      <c r="H258" s="144">
        <f aca="true" t="shared" si="73" ref="H258:R258">SUM(H259:H260)</f>
        <v>0</v>
      </c>
      <c r="I258" s="144">
        <f t="shared" si="73"/>
        <v>0</v>
      </c>
      <c r="J258" s="144">
        <f t="shared" si="73"/>
        <v>0</v>
      </c>
      <c r="K258" s="144">
        <f t="shared" si="73"/>
        <v>0</v>
      </c>
      <c r="L258" s="193" t="s">
        <v>655</v>
      </c>
      <c r="M258" s="144">
        <f t="shared" si="73"/>
        <v>0</v>
      </c>
      <c r="N258" s="144">
        <f t="shared" si="73"/>
        <v>0</v>
      </c>
      <c r="O258" s="144">
        <f t="shared" si="73"/>
        <v>0</v>
      </c>
      <c r="P258" s="193" t="s">
        <v>655</v>
      </c>
      <c r="Q258" s="144">
        <f t="shared" si="73"/>
        <v>0</v>
      </c>
      <c r="R258" s="144">
        <f t="shared" si="73"/>
        <v>0</v>
      </c>
    </row>
    <row r="259" spans="1:18" s="10" customFormat="1" ht="19.5" customHeight="1">
      <c r="A259" s="146" t="s">
        <v>4</v>
      </c>
      <c r="B259" s="158" t="s">
        <v>116</v>
      </c>
      <c r="C259" s="153"/>
      <c r="D259" s="153"/>
      <c r="E259" s="153"/>
      <c r="F259" s="153"/>
      <c r="G259" s="140">
        <v>200000</v>
      </c>
      <c r="H259" s="140">
        <f>SUM(I259:K259)</f>
        <v>0</v>
      </c>
      <c r="I259" s="140"/>
      <c r="J259" s="140"/>
      <c r="K259" s="140"/>
      <c r="L259" s="140">
        <f>SUM(M259:Q259)</f>
        <v>0</v>
      </c>
      <c r="M259" s="140"/>
      <c r="N259" s="140"/>
      <c r="O259" s="140"/>
      <c r="P259" s="140"/>
      <c r="Q259" s="140"/>
      <c r="R259" s="140"/>
    </row>
    <row r="260" spans="1:22" s="95" customFormat="1" ht="29.25" customHeight="1">
      <c r="A260" s="146" t="s">
        <v>4</v>
      </c>
      <c r="B260" s="161" t="s">
        <v>498</v>
      </c>
      <c r="C260" s="153"/>
      <c r="D260" s="153"/>
      <c r="E260" s="153"/>
      <c r="F260" s="153"/>
      <c r="G260" s="191" t="s">
        <v>655</v>
      </c>
      <c r="H260" s="140">
        <f>SUM(I260:K260)</f>
        <v>0</v>
      </c>
      <c r="I260" s="140"/>
      <c r="J260" s="140"/>
      <c r="K260" s="140"/>
      <c r="L260" s="191" t="s">
        <v>655</v>
      </c>
      <c r="M260" s="140"/>
      <c r="N260" s="140"/>
      <c r="O260" s="140"/>
      <c r="P260" s="191" t="s">
        <v>655</v>
      </c>
      <c r="Q260" s="140"/>
      <c r="R260" s="140"/>
      <c r="S260" s="131"/>
      <c r="T260" s="131"/>
      <c r="U260" s="131"/>
      <c r="V260" s="131"/>
    </row>
    <row r="261" spans="1:18" s="10" customFormat="1" ht="21.75" customHeight="1">
      <c r="A261" s="146">
        <v>3</v>
      </c>
      <c r="B261" s="158" t="s">
        <v>117</v>
      </c>
      <c r="C261" s="153"/>
      <c r="D261" s="153"/>
      <c r="E261" s="153"/>
      <c r="F261" s="153"/>
      <c r="G261" s="140">
        <v>300000</v>
      </c>
      <c r="H261" s="140"/>
      <c r="I261" s="140"/>
      <c r="J261" s="140"/>
      <c r="K261" s="140"/>
      <c r="L261" s="140"/>
      <c r="M261" s="140"/>
      <c r="N261" s="140"/>
      <c r="O261" s="140"/>
      <c r="P261" s="140"/>
      <c r="Q261" s="140"/>
      <c r="R261" s="140"/>
    </row>
    <row r="262" spans="1:18" s="10" customFormat="1" ht="20.25" customHeight="1">
      <c r="A262" s="155">
        <v>4</v>
      </c>
      <c r="B262" s="172" t="s">
        <v>118</v>
      </c>
      <c r="C262" s="168"/>
      <c r="D262" s="168"/>
      <c r="E262" s="168"/>
      <c r="F262" s="168"/>
      <c r="G262" s="193" t="s">
        <v>656</v>
      </c>
      <c r="H262" s="144">
        <f aca="true" t="shared" si="74" ref="H262:R262">SUM(H263:H268)</f>
        <v>0</v>
      </c>
      <c r="I262" s="144">
        <f t="shared" si="74"/>
        <v>0</v>
      </c>
      <c r="J262" s="144">
        <f t="shared" si="74"/>
        <v>0</v>
      </c>
      <c r="K262" s="144">
        <f t="shared" si="74"/>
        <v>0</v>
      </c>
      <c r="L262" s="193" t="s">
        <v>656</v>
      </c>
      <c r="M262" s="193" t="s">
        <v>659</v>
      </c>
      <c r="N262" s="144">
        <f t="shared" si="74"/>
        <v>0</v>
      </c>
      <c r="O262" s="144">
        <f t="shared" si="74"/>
        <v>0</v>
      </c>
      <c r="P262" s="193" t="s">
        <v>665</v>
      </c>
      <c r="Q262" s="144">
        <f t="shared" si="74"/>
        <v>0</v>
      </c>
      <c r="R262" s="144">
        <f t="shared" si="74"/>
        <v>0</v>
      </c>
    </row>
    <row r="263" spans="1:22" s="95" customFormat="1" ht="21" customHeight="1">
      <c r="A263" s="146" t="s">
        <v>4</v>
      </c>
      <c r="B263" s="158" t="s">
        <v>119</v>
      </c>
      <c r="C263" s="153"/>
      <c r="D263" s="153"/>
      <c r="E263" s="153"/>
      <c r="F263" s="153"/>
      <c r="G263" s="140">
        <f>H263+L263+R263</f>
        <v>18200</v>
      </c>
      <c r="H263" s="140">
        <f aca="true" t="shared" si="75" ref="H263:H268">SUM(I263:K263)</f>
        <v>0</v>
      </c>
      <c r="I263" s="140"/>
      <c r="J263" s="140"/>
      <c r="K263" s="140"/>
      <c r="L263" s="140">
        <f>SUM(M263:Q263)</f>
        <v>18200</v>
      </c>
      <c r="M263" s="140">
        <v>18200</v>
      </c>
      <c r="N263" s="140"/>
      <c r="O263" s="140"/>
      <c r="P263" s="140"/>
      <c r="Q263" s="140"/>
      <c r="R263" s="140"/>
      <c r="S263" s="131"/>
      <c r="T263" s="131"/>
      <c r="U263" s="131"/>
      <c r="V263" s="131"/>
    </row>
    <row r="264" spans="1:22" s="95" customFormat="1" ht="21" customHeight="1">
      <c r="A264" s="146" t="s">
        <v>4</v>
      </c>
      <c r="B264" s="161" t="s">
        <v>499</v>
      </c>
      <c r="C264" s="153"/>
      <c r="D264" s="153"/>
      <c r="E264" s="153"/>
      <c r="F264" s="153"/>
      <c r="G264" s="140">
        <f>H264+L264+R264</f>
        <v>18200</v>
      </c>
      <c r="H264" s="140">
        <f t="shared" si="75"/>
        <v>0</v>
      </c>
      <c r="I264" s="140"/>
      <c r="J264" s="140"/>
      <c r="K264" s="140"/>
      <c r="L264" s="140">
        <f>SUM(M264:Q264)</f>
        <v>18200</v>
      </c>
      <c r="M264" s="140">
        <v>18200</v>
      </c>
      <c r="N264" s="140"/>
      <c r="O264" s="140"/>
      <c r="P264" s="140"/>
      <c r="Q264" s="140"/>
      <c r="R264" s="140"/>
      <c r="S264" s="131"/>
      <c r="T264" s="131"/>
      <c r="U264" s="131"/>
      <c r="V264" s="131"/>
    </row>
    <row r="265" spans="1:22" s="95" customFormat="1" ht="21" customHeight="1">
      <c r="A265" s="146" t="s">
        <v>4</v>
      </c>
      <c r="B265" s="161" t="s">
        <v>120</v>
      </c>
      <c r="C265" s="153"/>
      <c r="D265" s="153"/>
      <c r="E265" s="153"/>
      <c r="F265" s="153"/>
      <c r="G265" s="140">
        <f>H265+L265+R265</f>
        <v>18200</v>
      </c>
      <c r="H265" s="140">
        <f t="shared" si="75"/>
        <v>0</v>
      </c>
      <c r="I265" s="140"/>
      <c r="J265" s="140"/>
      <c r="K265" s="140"/>
      <c r="L265" s="140">
        <f>SUM(M265:Q265)</f>
        <v>18200</v>
      </c>
      <c r="M265" s="140">
        <v>18200</v>
      </c>
      <c r="N265" s="140"/>
      <c r="O265" s="140"/>
      <c r="P265" s="140"/>
      <c r="Q265" s="140"/>
      <c r="R265" s="140"/>
      <c r="S265" s="131"/>
      <c r="T265" s="131"/>
      <c r="U265" s="131"/>
      <c r="V265" s="131"/>
    </row>
    <row r="266" spans="1:22" s="95" customFormat="1" ht="18" customHeight="1">
      <c r="A266" s="146" t="s">
        <v>4</v>
      </c>
      <c r="B266" s="158" t="s">
        <v>13</v>
      </c>
      <c r="C266" s="153"/>
      <c r="D266" s="153"/>
      <c r="E266" s="153"/>
      <c r="F266" s="153"/>
      <c r="G266" s="191" t="s">
        <v>660</v>
      </c>
      <c r="H266" s="140">
        <f t="shared" si="75"/>
        <v>0</v>
      </c>
      <c r="I266" s="140"/>
      <c r="J266" s="140"/>
      <c r="K266" s="140"/>
      <c r="L266" s="191" t="s">
        <v>660</v>
      </c>
      <c r="M266" s="191" t="s">
        <v>660</v>
      </c>
      <c r="N266" s="140"/>
      <c r="O266" s="140"/>
      <c r="P266" s="140"/>
      <c r="Q266" s="140"/>
      <c r="R266" s="140"/>
      <c r="S266" s="131"/>
      <c r="T266" s="131"/>
      <c r="U266" s="131"/>
      <c r="V266" s="131"/>
    </row>
    <row r="267" spans="1:22" s="95" customFormat="1" ht="19.5" customHeight="1">
      <c r="A267" s="146" t="s">
        <v>4</v>
      </c>
      <c r="B267" s="158" t="s">
        <v>534</v>
      </c>
      <c r="C267" s="153"/>
      <c r="D267" s="153"/>
      <c r="E267" s="153"/>
      <c r="F267" s="153"/>
      <c r="G267" s="191" t="s">
        <v>661</v>
      </c>
      <c r="H267" s="140"/>
      <c r="I267" s="140"/>
      <c r="J267" s="140"/>
      <c r="K267" s="140"/>
      <c r="L267" s="191" t="s">
        <v>661</v>
      </c>
      <c r="M267" s="140"/>
      <c r="N267" s="140"/>
      <c r="O267" s="140"/>
      <c r="P267" s="191" t="s">
        <v>661</v>
      </c>
      <c r="Q267" s="140"/>
      <c r="R267" s="140"/>
      <c r="S267" s="131"/>
      <c r="T267" s="131"/>
      <c r="U267" s="131"/>
      <c r="V267" s="131"/>
    </row>
    <row r="268" spans="1:22" s="95" customFormat="1" ht="24" customHeight="1">
      <c r="A268" s="146" t="s">
        <v>4</v>
      </c>
      <c r="B268" s="158" t="s">
        <v>122</v>
      </c>
      <c r="C268" s="153"/>
      <c r="D268" s="153"/>
      <c r="E268" s="153"/>
      <c r="F268" s="153"/>
      <c r="G268" s="191" t="s">
        <v>662</v>
      </c>
      <c r="H268" s="140">
        <f t="shared" si="75"/>
        <v>0</v>
      </c>
      <c r="I268" s="140"/>
      <c r="J268" s="140"/>
      <c r="K268" s="140"/>
      <c r="L268" s="191" t="s">
        <v>662</v>
      </c>
      <c r="M268" s="140"/>
      <c r="N268" s="140"/>
      <c r="O268" s="140"/>
      <c r="P268" s="191" t="s">
        <v>662</v>
      </c>
      <c r="Q268" s="140"/>
      <c r="R268" s="140"/>
      <c r="S268" s="131"/>
      <c r="T268" s="131"/>
      <c r="U268" s="131"/>
      <c r="V268" s="131"/>
    </row>
    <row r="269" spans="1:18" s="10" customFormat="1" ht="32.25" customHeight="1">
      <c r="A269" s="146">
        <v>5</v>
      </c>
      <c r="B269" s="133" t="s">
        <v>320</v>
      </c>
      <c r="C269" s="153"/>
      <c r="D269" s="153"/>
      <c r="E269" s="153"/>
      <c r="F269" s="153"/>
      <c r="G269" s="140">
        <v>300000</v>
      </c>
      <c r="H269" s="140"/>
      <c r="I269" s="140"/>
      <c r="J269" s="140"/>
      <c r="K269" s="140"/>
      <c r="L269" s="140"/>
      <c r="M269" s="140"/>
      <c r="N269" s="140"/>
      <c r="O269" s="140"/>
      <c r="P269" s="140"/>
      <c r="Q269" s="140"/>
      <c r="R269" s="140"/>
    </row>
    <row r="270" spans="1:18" s="10" customFormat="1" ht="19.5" customHeight="1">
      <c r="A270" s="155">
        <v>6</v>
      </c>
      <c r="B270" s="179" t="s">
        <v>502</v>
      </c>
      <c r="C270" s="168"/>
      <c r="D270" s="168"/>
      <c r="E270" s="168"/>
      <c r="F270" s="168"/>
      <c r="G270" s="144">
        <f>8884000-G257-G258-G261-G262-G269</f>
        <v>4544400</v>
      </c>
      <c r="H270" s="144">
        <f>SUM(I270:K270)</f>
        <v>0</v>
      </c>
      <c r="I270" s="144"/>
      <c r="J270" s="144"/>
      <c r="K270" s="144"/>
      <c r="L270" s="193" t="s">
        <v>663</v>
      </c>
      <c r="M270" s="144">
        <f>M271+M274+M277</f>
        <v>0</v>
      </c>
      <c r="N270" s="144">
        <f>N271+N274+N277</f>
        <v>0</v>
      </c>
      <c r="O270" s="144">
        <f>O271+O274+O277</f>
        <v>0</v>
      </c>
      <c r="P270" s="193" t="s">
        <v>663</v>
      </c>
      <c r="Q270" s="144">
        <f>SUM(Q271:Q278)</f>
        <v>0</v>
      </c>
      <c r="R270" s="144">
        <f>SUM(R271:R278)</f>
        <v>0</v>
      </c>
    </row>
    <row r="271" spans="1:22" s="95" customFormat="1" ht="21" customHeight="1">
      <c r="A271" s="139" t="s">
        <v>4</v>
      </c>
      <c r="B271" s="132" t="s">
        <v>302</v>
      </c>
      <c r="C271" s="153"/>
      <c r="D271" s="153"/>
      <c r="E271" s="153"/>
      <c r="F271" s="153"/>
      <c r="G271" s="140">
        <f aca="true" t="shared" si="76" ref="G271:P271">SUM(G272:G273)</f>
        <v>3600000</v>
      </c>
      <c r="H271" s="140">
        <f t="shared" si="76"/>
        <v>0</v>
      </c>
      <c r="I271" s="140">
        <f t="shared" si="76"/>
        <v>0</v>
      </c>
      <c r="J271" s="140">
        <f t="shared" si="76"/>
        <v>0</v>
      </c>
      <c r="K271" s="140">
        <f t="shared" si="76"/>
        <v>0</v>
      </c>
      <c r="L271" s="140">
        <f t="shared" si="76"/>
        <v>3600000</v>
      </c>
      <c r="M271" s="140">
        <f t="shared" si="76"/>
        <v>0</v>
      </c>
      <c r="N271" s="140">
        <f t="shared" si="76"/>
        <v>0</v>
      </c>
      <c r="O271" s="140">
        <f t="shared" si="76"/>
        <v>0</v>
      </c>
      <c r="P271" s="140">
        <f t="shared" si="76"/>
        <v>3600000</v>
      </c>
      <c r="Q271" s="140"/>
      <c r="R271" s="140"/>
      <c r="S271" s="131"/>
      <c r="T271" s="131"/>
      <c r="U271" s="131"/>
      <c r="V271" s="131"/>
    </row>
    <row r="272" spans="1:22" s="95" customFormat="1" ht="21.75" customHeight="1">
      <c r="A272" s="139" t="s">
        <v>11</v>
      </c>
      <c r="B272" s="133" t="s">
        <v>335</v>
      </c>
      <c r="C272" s="153"/>
      <c r="D272" s="153"/>
      <c r="E272" s="153"/>
      <c r="F272" s="153"/>
      <c r="G272" s="140">
        <f>H272+L272+R272</f>
        <v>600000</v>
      </c>
      <c r="H272" s="140"/>
      <c r="I272" s="140"/>
      <c r="J272" s="140"/>
      <c r="K272" s="140"/>
      <c r="L272" s="140">
        <f>SUM(M272:Q272)</f>
        <v>600000</v>
      </c>
      <c r="M272" s="140"/>
      <c r="N272" s="140"/>
      <c r="O272" s="140"/>
      <c r="P272" s="140">
        <v>600000</v>
      </c>
      <c r="Q272" s="140"/>
      <c r="R272" s="140"/>
      <c r="S272" s="131"/>
      <c r="T272" s="131"/>
      <c r="U272" s="131"/>
      <c r="V272" s="131"/>
    </row>
    <row r="273" spans="1:22" s="95" customFormat="1" ht="45.75" customHeight="1">
      <c r="A273" s="139" t="s">
        <v>11</v>
      </c>
      <c r="B273" s="133" t="s">
        <v>337</v>
      </c>
      <c r="C273" s="153"/>
      <c r="D273" s="153"/>
      <c r="E273" s="153"/>
      <c r="F273" s="153"/>
      <c r="G273" s="140">
        <f>H273+L273+R273</f>
        <v>3000000</v>
      </c>
      <c r="H273" s="140"/>
      <c r="I273" s="140"/>
      <c r="J273" s="140"/>
      <c r="K273" s="140"/>
      <c r="L273" s="140">
        <f>SUM(M273:Q273)</f>
        <v>3000000</v>
      </c>
      <c r="M273" s="140"/>
      <c r="N273" s="140"/>
      <c r="O273" s="140"/>
      <c r="P273" s="140">
        <f>3600000-P272</f>
        <v>3000000</v>
      </c>
      <c r="Q273" s="140"/>
      <c r="R273" s="140"/>
      <c r="S273" s="131"/>
      <c r="T273" s="131"/>
      <c r="U273" s="131"/>
      <c r="V273" s="131"/>
    </row>
    <row r="274" spans="1:22" s="95" customFormat="1" ht="22.5" customHeight="1">
      <c r="A274" s="139" t="s">
        <v>4</v>
      </c>
      <c r="B274" s="132" t="s">
        <v>303</v>
      </c>
      <c r="C274" s="153"/>
      <c r="D274" s="153"/>
      <c r="E274" s="153"/>
      <c r="F274" s="153"/>
      <c r="G274" s="140">
        <f aca="true" t="shared" si="77" ref="G274:O274">SUM(G275:G276)</f>
        <v>625000</v>
      </c>
      <c r="H274" s="140">
        <f t="shared" si="77"/>
        <v>0</v>
      </c>
      <c r="I274" s="140">
        <f t="shared" si="77"/>
        <v>0</v>
      </c>
      <c r="J274" s="140">
        <f t="shared" si="77"/>
        <v>0</v>
      </c>
      <c r="K274" s="140">
        <f t="shared" si="77"/>
        <v>0</v>
      </c>
      <c r="L274" s="140">
        <f t="shared" si="77"/>
        <v>625000</v>
      </c>
      <c r="M274" s="140">
        <f t="shared" si="77"/>
        <v>0</v>
      </c>
      <c r="N274" s="140">
        <f t="shared" si="77"/>
        <v>0</v>
      </c>
      <c r="O274" s="140">
        <f t="shared" si="77"/>
        <v>0</v>
      </c>
      <c r="P274" s="140">
        <f>SUM(P275:P276)</f>
        <v>625000</v>
      </c>
      <c r="Q274" s="140"/>
      <c r="R274" s="140"/>
      <c r="S274" s="131"/>
      <c r="T274" s="131"/>
      <c r="U274" s="131"/>
      <c r="V274" s="131"/>
    </row>
    <row r="275" spans="1:22" s="95" customFormat="1" ht="23.25" customHeight="1">
      <c r="A275" s="139" t="s">
        <v>11</v>
      </c>
      <c r="B275" s="133" t="s">
        <v>335</v>
      </c>
      <c r="C275" s="153"/>
      <c r="D275" s="153"/>
      <c r="E275" s="153"/>
      <c r="F275" s="153"/>
      <c r="G275" s="140">
        <f>H275+L275+R275</f>
        <v>600000</v>
      </c>
      <c r="H275" s="140"/>
      <c r="I275" s="140"/>
      <c r="J275" s="140"/>
      <c r="K275" s="140"/>
      <c r="L275" s="140">
        <f>SUM(M275:Q275)</f>
        <v>600000</v>
      </c>
      <c r="M275" s="140"/>
      <c r="N275" s="140"/>
      <c r="O275" s="140"/>
      <c r="P275" s="140">
        <v>600000</v>
      </c>
      <c r="Q275" s="140"/>
      <c r="R275" s="140"/>
      <c r="S275" s="131"/>
      <c r="T275" s="131"/>
      <c r="U275" s="131"/>
      <c r="V275" s="131"/>
    </row>
    <row r="276" spans="1:22" s="95" customFormat="1" ht="20.25" customHeight="1">
      <c r="A276" s="139" t="s">
        <v>11</v>
      </c>
      <c r="B276" s="133" t="s">
        <v>592</v>
      </c>
      <c r="C276" s="153"/>
      <c r="D276" s="153"/>
      <c r="E276" s="153"/>
      <c r="F276" s="153"/>
      <c r="G276" s="140">
        <f>H276+L276+R276</f>
        <v>25000</v>
      </c>
      <c r="H276" s="140"/>
      <c r="I276" s="140"/>
      <c r="J276" s="140"/>
      <c r="K276" s="140"/>
      <c r="L276" s="140">
        <f>SUM(M276:Q276)</f>
        <v>25000</v>
      </c>
      <c r="M276" s="140"/>
      <c r="N276" s="140"/>
      <c r="O276" s="140"/>
      <c r="P276" s="140">
        <v>25000</v>
      </c>
      <c r="Q276" s="140"/>
      <c r="R276" s="140"/>
      <c r="S276" s="131"/>
      <c r="T276" s="131"/>
      <c r="U276" s="131"/>
      <c r="V276" s="131"/>
    </row>
    <row r="277" spans="1:22" s="95" customFormat="1" ht="33.75" customHeight="1">
      <c r="A277" s="139" t="s">
        <v>4</v>
      </c>
      <c r="B277" s="161" t="s">
        <v>504</v>
      </c>
      <c r="C277" s="153"/>
      <c r="D277" s="153"/>
      <c r="E277" s="153"/>
      <c r="F277" s="153"/>
      <c r="G277" s="140">
        <f>H277+L277+R277</f>
        <v>145000</v>
      </c>
      <c r="H277" s="140"/>
      <c r="I277" s="140"/>
      <c r="J277" s="140"/>
      <c r="K277" s="140"/>
      <c r="L277" s="191" t="s">
        <v>666</v>
      </c>
      <c r="M277" s="140"/>
      <c r="N277" s="140"/>
      <c r="O277" s="140"/>
      <c r="P277" s="191" t="s">
        <v>666</v>
      </c>
      <c r="Q277" s="140"/>
      <c r="R277" s="140"/>
      <c r="S277" s="131"/>
      <c r="T277" s="131"/>
      <c r="U277" s="131"/>
      <c r="V277" s="131"/>
    </row>
    <row r="278" spans="1:18" s="10" customFormat="1" ht="19.5" customHeight="1">
      <c r="A278" s="139" t="s">
        <v>4</v>
      </c>
      <c r="B278" s="158" t="s">
        <v>277</v>
      </c>
      <c r="C278" s="153"/>
      <c r="D278" s="153"/>
      <c r="E278" s="153"/>
      <c r="F278" s="153"/>
      <c r="G278" s="140">
        <f>G270-G271-G274-G277</f>
        <v>174400</v>
      </c>
      <c r="H278" s="140"/>
      <c r="I278" s="140"/>
      <c r="J278" s="140"/>
      <c r="K278" s="140"/>
      <c r="L278" s="140">
        <f>SUM(M278:Q278)</f>
        <v>0</v>
      </c>
      <c r="M278" s="140"/>
      <c r="N278" s="140"/>
      <c r="O278" s="140"/>
      <c r="P278" s="140"/>
      <c r="Q278" s="140"/>
      <c r="R278" s="140"/>
    </row>
    <row r="279" spans="1:20" ht="20.25" customHeight="1">
      <c r="A279" s="97" t="s">
        <v>123</v>
      </c>
      <c r="B279" s="23" t="s">
        <v>124</v>
      </c>
      <c r="C279" s="139"/>
      <c r="D279" s="139"/>
      <c r="E279" s="139"/>
      <c r="F279" s="139"/>
      <c r="G279" s="138">
        <v>410000</v>
      </c>
      <c r="H279" s="140"/>
      <c r="I279" s="140"/>
      <c r="J279" s="140"/>
      <c r="K279" s="140"/>
      <c r="L279" s="138">
        <f>SUM(M279:R279)</f>
        <v>40000</v>
      </c>
      <c r="M279" s="138"/>
      <c r="N279" s="138"/>
      <c r="O279" s="138">
        <f>+O280+O281</f>
        <v>0</v>
      </c>
      <c r="P279" s="138">
        <f>+P280+P281</f>
        <v>0</v>
      </c>
      <c r="Q279" s="138">
        <f>+Q280+Q281</f>
        <v>40000</v>
      </c>
      <c r="R279" s="138">
        <f>+R280+R281</f>
        <v>0</v>
      </c>
      <c r="S279" s="4"/>
      <c r="T279" s="4"/>
    </row>
    <row r="280" spans="1:18" s="10" customFormat="1" ht="21" customHeight="1">
      <c r="A280" s="139"/>
      <c r="B280" s="158" t="s">
        <v>125</v>
      </c>
      <c r="C280" s="153"/>
      <c r="D280" s="153"/>
      <c r="E280" s="153"/>
      <c r="F280" s="153"/>
      <c r="G280" s="140">
        <v>40000</v>
      </c>
      <c r="H280" s="140"/>
      <c r="I280" s="140"/>
      <c r="J280" s="140"/>
      <c r="K280" s="140"/>
      <c r="L280" s="140">
        <f>SUM(M280:R280)</f>
        <v>40000</v>
      </c>
      <c r="M280" s="140"/>
      <c r="N280" s="140"/>
      <c r="O280" s="140"/>
      <c r="P280" s="140"/>
      <c r="Q280" s="140">
        <v>40000</v>
      </c>
      <c r="R280" s="140"/>
    </row>
    <row r="281" spans="1:22" s="95" customFormat="1" ht="19.5" customHeight="1">
      <c r="A281" s="139" t="s">
        <v>126</v>
      </c>
      <c r="B281" s="158" t="s">
        <v>384</v>
      </c>
      <c r="C281" s="153"/>
      <c r="D281" s="153"/>
      <c r="E281" s="153"/>
      <c r="F281" s="153"/>
      <c r="G281" s="140">
        <v>50000</v>
      </c>
      <c r="H281" s="140"/>
      <c r="I281" s="140"/>
      <c r="J281" s="140"/>
      <c r="K281" s="140"/>
      <c r="L281" s="140">
        <f>SUM(M281:R281)</f>
        <v>50000</v>
      </c>
      <c r="M281" s="140"/>
      <c r="N281" s="140">
        <v>50000</v>
      </c>
      <c r="O281" s="140"/>
      <c r="P281" s="140"/>
      <c r="Q281" s="140"/>
      <c r="R281" s="140"/>
      <c r="S281" s="131"/>
      <c r="T281" s="131"/>
      <c r="U281" s="131"/>
      <c r="V281" s="131"/>
    </row>
    <row r="282" spans="1:20" ht="20.25" customHeight="1">
      <c r="A282" s="97" t="s">
        <v>127</v>
      </c>
      <c r="B282" s="23" t="s">
        <v>128</v>
      </c>
      <c r="C282" s="139"/>
      <c r="D282" s="139"/>
      <c r="E282" s="139"/>
      <c r="F282" s="139"/>
      <c r="G282" s="138">
        <f>SUM(G283:G284)</f>
        <v>6106000</v>
      </c>
      <c r="H282" s="140"/>
      <c r="I282" s="140"/>
      <c r="J282" s="140"/>
      <c r="K282" s="140"/>
      <c r="L282" s="138"/>
      <c r="M282" s="140"/>
      <c r="N282" s="140"/>
      <c r="O282" s="140"/>
      <c r="P282" s="140"/>
      <c r="Q282" s="140"/>
      <c r="R282" s="138">
        <f>SUM(R283:R284)</f>
        <v>6106000</v>
      </c>
      <c r="S282" s="4"/>
      <c r="T282" s="4"/>
    </row>
    <row r="283" spans="1:18" s="10" customFormat="1" ht="19.5" customHeight="1">
      <c r="A283" s="139">
        <v>1</v>
      </c>
      <c r="B283" s="158" t="s">
        <v>129</v>
      </c>
      <c r="C283" s="153"/>
      <c r="D283" s="153"/>
      <c r="E283" s="153"/>
      <c r="F283" s="153"/>
      <c r="G283" s="140">
        <v>5179000</v>
      </c>
      <c r="H283" s="140"/>
      <c r="I283" s="140"/>
      <c r="J283" s="140"/>
      <c r="K283" s="140"/>
      <c r="L283" s="140"/>
      <c r="M283" s="140"/>
      <c r="N283" s="140"/>
      <c r="O283" s="140"/>
      <c r="P283" s="140"/>
      <c r="Q283" s="140"/>
      <c r="R283" s="140">
        <v>5179000</v>
      </c>
    </row>
    <row r="284" spans="1:18" s="10" customFormat="1" ht="18" customHeight="1">
      <c r="A284" s="139">
        <v>2</v>
      </c>
      <c r="B284" s="158" t="s">
        <v>130</v>
      </c>
      <c r="C284" s="153"/>
      <c r="D284" s="153"/>
      <c r="E284" s="153"/>
      <c r="F284" s="153"/>
      <c r="G284" s="140">
        <v>927000</v>
      </c>
      <c r="H284" s="140"/>
      <c r="I284" s="140"/>
      <c r="J284" s="140"/>
      <c r="K284" s="140"/>
      <c r="L284" s="140"/>
      <c r="M284" s="140"/>
      <c r="N284" s="140"/>
      <c r="O284" s="140"/>
      <c r="P284" s="140"/>
      <c r="Q284" s="140"/>
      <c r="R284" s="140">
        <v>927000</v>
      </c>
    </row>
    <row r="285" spans="1:20" ht="21" customHeight="1">
      <c r="A285" s="97" t="s">
        <v>131</v>
      </c>
      <c r="B285" s="145" t="s">
        <v>505</v>
      </c>
      <c r="C285" s="139"/>
      <c r="D285" s="139"/>
      <c r="E285" s="139"/>
      <c r="F285" s="139"/>
      <c r="G285" s="180" t="s">
        <v>593</v>
      </c>
      <c r="H285" s="180" t="s">
        <v>4</v>
      </c>
      <c r="I285" s="180" t="s">
        <v>4</v>
      </c>
      <c r="J285" s="180" t="s">
        <v>4</v>
      </c>
      <c r="K285" s="180" t="s">
        <v>4</v>
      </c>
      <c r="L285" s="180" t="s">
        <v>4</v>
      </c>
      <c r="M285" s="180" t="s">
        <v>4</v>
      </c>
      <c r="N285" s="180" t="s">
        <v>4</v>
      </c>
      <c r="O285" s="180" t="s">
        <v>4</v>
      </c>
      <c r="P285" s="180" t="s">
        <v>4</v>
      </c>
      <c r="Q285" s="180" t="s">
        <v>4</v>
      </c>
      <c r="R285" s="180" t="s">
        <v>4</v>
      </c>
      <c r="S285" s="4"/>
      <c r="T285" s="4"/>
    </row>
    <row r="286" spans="1:20" ht="30" customHeight="1">
      <c r="A286" s="139">
        <v>1</v>
      </c>
      <c r="B286" s="134" t="s">
        <v>377</v>
      </c>
      <c r="C286" s="139"/>
      <c r="D286" s="139"/>
      <c r="E286" s="139"/>
      <c r="F286" s="139"/>
      <c r="G286" s="191" t="s">
        <v>4</v>
      </c>
      <c r="H286" s="191" t="s">
        <v>4</v>
      </c>
      <c r="I286" s="191" t="s">
        <v>4</v>
      </c>
      <c r="J286" s="191" t="s">
        <v>4</v>
      </c>
      <c r="K286" s="191" t="s">
        <v>4</v>
      </c>
      <c r="L286" s="191" t="s">
        <v>4</v>
      </c>
      <c r="M286" s="191" t="s">
        <v>4</v>
      </c>
      <c r="N286" s="191" t="s">
        <v>4</v>
      </c>
      <c r="O286" s="191" t="s">
        <v>4</v>
      </c>
      <c r="P286" s="191" t="s">
        <v>4</v>
      </c>
      <c r="Q286" s="191" t="s">
        <v>4</v>
      </c>
      <c r="R286" s="191" t="s">
        <v>4</v>
      </c>
      <c r="S286" s="4"/>
      <c r="T286" s="4"/>
    </row>
    <row r="287" spans="1:20" ht="21" customHeight="1">
      <c r="A287" s="155">
        <v>2</v>
      </c>
      <c r="B287" s="165" t="s">
        <v>378</v>
      </c>
      <c r="C287" s="155"/>
      <c r="D287" s="155"/>
      <c r="E287" s="155"/>
      <c r="F287" s="155"/>
      <c r="G287" s="144">
        <v>750000</v>
      </c>
      <c r="H287" s="193" t="s">
        <v>4</v>
      </c>
      <c r="I287" s="193" t="s">
        <v>4</v>
      </c>
      <c r="J287" s="193" t="s">
        <v>4</v>
      </c>
      <c r="K287" s="193" t="s">
        <v>4</v>
      </c>
      <c r="L287" s="193" t="s">
        <v>4</v>
      </c>
      <c r="M287" s="193" t="s">
        <v>4</v>
      </c>
      <c r="N287" s="193" t="s">
        <v>4</v>
      </c>
      <c r="O287" s="193" t="s">
        <v>4</v>
      </c>
      <c r="P287" s="193" t="s">
        <v>4</v>
      </c>
      <c r="Q287" s="193" t="s">
        <v>4</v>
      </c>
      <c r="R287" s="193" t="s">
        <v>4</v>
      </c>
      <c r="S287" s="4"/>
      <c r="T287" s="4"/>
    </row>
    <row r="288" spans="1:20" ht="31.5" customHeight="1">
      <c r="A288" s="97" t="s">
        <v>132</v>
      </c>
      <c r="B288" s="145" t="s">
        <v>379</v>
      </c>
      <c r="C288" s="139"/>
      <c r="D288" s="139"/>
      <c r="E288" s="139"/>
      <c r="F288" s="139"/>
      <c r="G288" s="138">
        <f>G289+G291+G294</f>
        <v>750000</v>
      </c>
      <c r="H288" s="138">
        <f aca="true" t="shared" si="78" ref="H288:R289">H289</f>
        <v>0</v>
      </c>
      <c r="I288" s="138">
        <f t="shared" si="78"/>
        <v>0</v>
      </c>
      <c r="J288" s="138">
        <f t="shared" si="78"/>
        <v>0</v>
      </c>
      <c r="K288" s="138">
        <f t="shared" si="78"/>
        <v>0</v>
      </c>
      <c r="L288" s="138">
        <f t="shared" si="78"/>
        <v>450000</v>
      </c>
      <c r="M288" s="138">
        <f t="shared" si="78"/>
        <v>0</v>
      </c>
      <c r="N288" s="138">
        <f t="shared" si="78"/>
        <v>450000</v>
      </c>
      <c r="O288" s="138">
        <f t="shared" si="78"/>
        <v>0</v>
      </c>
      <c r="P288" s="138">
        <f t="shared" si="78"/>
        <v>0</v>
      </c>
      <c r="Q288" s="138">
        <f t="shared" si="78"/>
        <v>0</v>
      </c>
      <c r="R288" s="138">
        <f t="shared" si="78"/>
        <v>0</v>
      </c>
      <c r="S288" s="4"/>
      <c r="T288" s="4"/>
    </row>
    <row r="289" spans="1:20" ht="21.75" customHeight="1">
      <c r="A289" s="139">
        <v>1</v>
      </c>
      <c r="B289" s="134" t="s">
        <v>76</v>
      </c>
      <c r="C289" s="139"/>
      <c r="D289" s="139"/>
      <c r="E289" s="139"/>
      <c r="F289" s="139"/>
      <c r="G289" s="140">
        <f>G290</f>
        <v>450000</v>
      </c>
      <c r="H289" s="140">
        <f t="shared" si="78"/>
        <v>0</v>
      </c>
      <c r="I289" s="140">
        <f t="shared" si="78"/>
        <v>0</v>
      </c>
      <c r="J289" s="140">
        <f t="shared" si="78"/>
        <v>0</v>
      </c>
      <c r="K289" s="140">
        <f t="shared" si="78"/>
        <v>0</v>
      </c>
      <c r="L289" s="140">
        <f t="shared" si="78"/>
        <v>450000</v>
      </c>
      <c r="M289" s="140">
        <f t="shared" si="78"/>
        <v>0</v>
      </c>
      <c r="N289" s="140">
        <f t="shared" si="78"/>
        <v>450000</v>
      </c>
      <c r="O289" s="140">
        <f>SUM(O290:O294)</f>
        <v>0</v>
      </c>
      <c r="P289" s="140">
        <f>SUM(P290:P294)</f>
        <v>0</v>
      </c>
      <c r="Q289" s="140">
        <f>SUM(Q290:Q294)</f>
        <v>0</v>
      </c>
      <c r="R289" s="140">
        <f>SUM(R290:R294)</f>
        <v>0</v>
      </c>
      <c r="S289" s="4"/>
      <c r="T289" s="4"/>
    </row>
    <row r="290" spans="1:20" ht="21.75" customHeight="1">
      <c r="A290" s="139" t="s">
        <v>4</v>
      </c>
      <c r="B290" s="134" t="s">
        <v>506</v>
      </c>
      <c r="C290" s="139"/>
      <c r="D290" s="139"/>
      <c r="E290" s="139"/>
      <c r="F290" s="139"/>
      <c r="G290" s="140">
        <f>H290+L290+R290</f>
        <v>450000</v>
      </c>
      <c r="H290" s="140"/>
      <c r="I290" s="140"/>
      <c r="J290" s="140"/>
      <c r="K290" s="140"/>
      <c r="L290" s="140">
        <f>SUM(M290:Q290)</f>
        <v>450000</v>
      </c>
      <c r="M290" s="140"/>
      <c r="N290" s="140">
        <v>450000</v>
      </c>
      <c r="O290" s="140"/>
      <c r="P290" s="140"/>
      <c r="Q290" s="140"/>
      <c r="R290" s="140"/>
      <c r="S290" s="4"/>
      <c r="T290" s="4"/>
    </row>
    <row r="291" spans="1:20" ht="21" customHeight="1">
      <c r="A291" s="139">
        <v>2</v>
      </c>
      <c r="B291" s="134" t="s">
        <v>90</v>
      </c>
      <c r="C291" s="139"/>
      <c r="D291" s="139"/>
      <c r="E291" s="139"/>
      <c r="F291" s="139"/>
      <c r="G291" s="140">
        <f>SUM(G292:G293)</f>
        <v>210000</v>
      </c>
      <c r="H291" s="140">
        <f aca="true" t="shared" si="79" ref="H291:R291">SUM(H292:H293)</f>
        <v>210000</v>
      </c>
      <c r="I291" s="140">
        <f t="shared" si="79"/>
        <v>0</v>
      </c>
      <c r="J291" s="140">
        <f t="shared" si="79"/>
        <v>210000</v>
      </c>
      <c r="K291" s="140">
        <f t="shared" si="79"/>
        <v>0</v>
      </c>
      <c r="L291" s="140">
        <f t="shared" si="79"/>
        <v>0</v>
      </c>
      <c r="M291" s="140">
        <f t="shared" si="79"/>
        <v>0</v>
      </c>
      <c r="N291" s="140">
        <f t="shared" si="79"/>
        <v>0</v>
      </c>
      <c r="O291" s="140">
        <f t="shared" si="79"/>
        <v>0</v>
      </c>
      <c r="P291" s="140">
        <f t="shared" si="79"/>
        <v>0</v>
      </c>
      <c r="Q291" s="140">
        <f t="shared" si="79"/>
        <v>0</v>
      </c>
      <c r="R291" s="140">
        <f t="shared" si="79"/>
        <v>0</v>
      </c>
      <c r="S291" s="4"/>
      <c r="T291" s="4"/>
    </row>
    <row r="292" spans="1:22" s="95" customFormat="1" ht="20.25" customHeight="1">
      <c r="A292" s="139" t="s">
        <v>11</v>
      </c>
      <c r="B292" s="147" t="s">
        <v>493</v>
      </c>
      <c r="C292" s="153"/>
      <c r="D292" s="153"/>
      <c r="E292" s="153"/>
      <c r="F292" s="153"/>
      <c r="G292" s="140">
        <f>H292+L292+R292</f>
        <v>105000</v>
      </c>
      <c r="H292" s="140">
        <f>SUM(I292:K292)</f>
        <v>105000</v>
      </c>
      <c r="I292" s="140"/>
      <c r="J292" s="140">
        <v>105000</v>
      </c>
      <c r="K292" s="140"/>
      <c r="L292" s="140"/>
      <c r="M292" s="140"/>
      <c r="N292" s="140"/>
      <c r="O292" s="140"/>
      <c r="P292" s="140"/>
      <c r="Q292" s="140"/>
      <c r="R292" s="140"/>
      <c r="S292" s="131"/>
      <c r="T292" s="131"/>
      <c r="U292" s="131"/>
      <c r="V292" s="131"/>
    </row>
    <row r="293" spans="1:22" s="95" customFormat="1" ht="25.5" customHeight="1">
      <c r="A293" s="155" t="s">
        <v>11</v>
      </c>
      <c r="B293" s="156" t="s">
        <v>96</v>
      </c>
      <c r="C293" s="168"/>
      <c r="D293" s="168"/>
      <c r="E293" s="168"/>
      <c r="F293" s="170"/>
      <c r="G293" s="144">
        <f>H293+L293+R293</f>
        <v>105000</v>
      </c>
      <c r="H293" s="144">
        <f>SUM(I293:K293)</f>
        <v>105000</v>
      </c>
      <c r="I293" s="144"/>
      <c r="J293" s="144">
        <v>105000</v>
      </c>
      <c r="K293" s="144"/>
      <c r="L293" s="144"/>
      <c r="M293" s="144"/>
      <c r="N293" s="144"/>
      <c r="O293" s="144"/>
      <c r="P293" s="144"/>
      <c r="Q293" s="144"/>
      <c r="R293" s="144"/>
      <c r="S293" s="131"/>
      <c r="T293" s="131"/>
      <c r="U293" s="131"/>
      <c r="V293" s="131"/>
    </row>
    <row r="294" spans="1:20" ht="24" customHeight="1">
      <c r="A294" s="139">
        <v>3</v>
      </c>
      <c r="B294" s="134" t="s">
        <v>277</v>
      </c>
      <c r="C294" s="139"/>
      <c r="D294" s="139"/>
      <c r="E294" s="139"/>
      <c r="F294" s="139"/>
      <c r="G294" s="140">
        <f>750000-G290-G291</f>
        <v>90000</v>
      </c>
      <c r="H294" s="140"/>
      <c r="I294" s="140"/>
      <c r="J294" s="140"/>
      <c r="K294" s="140"/>
      <c r="L294" s="140">
        <f>SUM(M294:Q294)</f>
        <v>0</v>
      </c>
      <c r="M294" s="140"/>
      <c r="N294" s="140"/>
      <c r="O294" s="140"/>
      <c r="P294" s="140"/>
      <c r="Q294" s="140"/>
      <c r="R294" s="140"/>
      <c r="S294" s="4"/>
      <c r="T294" s="4"/>
    </row>
    <row r="295" spans="1:18" s="16" customFormat="1" ht="25.5" customHeight="1">
      <c r="A295" s="97" t="s">
        <v>133</v>
      </c>
      <c r="B295" s="145" t="s">
        <v>510</v>
      </c>
      <c r="C295" s="97"/>
      <c r="D295" s="97"/>
      <c r="E295" s="97"/>
      <c r="F295" s="97"/>
      <c r="G295" s="138">
        <f>G296+G297+G298+G299+G300+G306</f>
        <v>957000</v>
      </c>
      <c r="H295" s="138">
        <f>H296+H297+H298+H299+H300+H306</f>
        <v>0</v>
      </c>
      <c r="I295" s="138">
        <f aca="true" t="shared" si="80" ref="I295:R295">I296+I297+I298+I299+I300+I306</f>
        <v>0</v>
      </c>
      <c r="J295" s="138">
        <f t="shared" si="80"/>
        <v>0</v>
      </c>
      <c r="K295" s="138">
        <f t="shared" si="80"/>
        <v>0</v>
      </c>
      <c r="L295" s="138">
        <f t="shared" si="80"/>
        <v>957000</v>
      </c>
      <c r="M295" s="138">
        <f t="shared" si="80"/>
        <v>364800</v>
      </c>
      <c r="N295" s="138">
        <f t="shared" si="80"/>
        <v>489000</v>
      </c>
      <c r="O295" s="138">
        <f t="shared" si="80"/>
        <v>70200</v>
      </c>
      <c r="P295" s="138">
        <f t="shared" si="80"/>
        <v>33000</v>
      </c>
      <c r="Q295" s="138">
        <f t="shared" si="80"/>
        <v>0</v>
      </c>
      <c r="R295" s="138">
        <f t="shared" si="80"/>
        <v>0</v>
      </c>
    </row>
    <row r="296" spans="1:20" ht="21" customHeight="1">
      <c r="A296" s="162">
        <v>1</v>
      </c>
      <c r="B296" s="158" t="s">
        <v>81</v>
      </c>
      <c r="C296" s="139"/>
      <c r="D296" s="139"/>
      <c r="E296" s="139"/>
      <c r="F296" s="139"/>
      <c r="G296" s="140">
        <f>H296+L296+R296</f>
        <v>1000</v>
      </c>
      <c r="H296" s="140"/>
      <c r="I296" s="140"/>
      <c r="J296" s="140"/>
      <c r="K296" s="140"/>
      <c r="L296" s="140">
        <f>SUM(M296:Q296)</f>
        <v>1000</v>
      </c>
      <c r="M296" s="140"/>
      <c r="N296" s="140">
        <v>1000</v>
      </c>
      <c r="O296" s="140"/>
      <c r="P296" s="140"/>
      <c r="Q296" s="140"/>
      <c r="R296" s="140"/>
      <c r="S296" s="4"/>
      <c r="T296" s="4"/>
    </row>
    <row r="297" spans="1:20" ht="21" customHeight="1">
      <c r="A297" s="162">
        <v>2</v>
      </c>
      <c r="B297" s="158" t="s">
        <v>426</v>
      </c>
      <c r="C297" s="139"/>
      <c r="D297" s="139"/>
      <c r="E297" s="139"/>
      <c r="F297" s="139"/>
      <c r="G297" s="140">
        <f>H297+L297+R297</f>
        <v>270000</v>
      </c>
      <c r="H297" s="140"/>
      <c r="I297" s="140"/>
      <c r="J297" s="163"/>
      <c r="K297" s="140"/>
      <c r="L297" s="140">
        <f>SUM(M297:Q297)</f>
        <v>270000</v>
      </c>
      <c r="M297" s="140"/>
      <c r="N297" s="163">
        <v>270000</v>
      </c>
      <c r="O297" s="140"/>
      <c r="P297" s="140"/>
      <c r="Q297" s="140"/>
      <c r="R297" s="140"/>
      <c r="S297" s="4"/>
      <c r="T297" s="4"/>
    </row>
    <row r="298" spans="1:20" ht="21" customHeight="1">
      <c r="A298" s="162">
        <v>3</v>
      </c>
      <c r="B298" s="161" t="s">
        <v>537</v>
      </c>
      <c r="C298" s="139"/>
      <c r="D298" s="139"/>
      <c r="E298" s="139"/>
      <c r="F298" s="139"/>
      <c r="G298" s="140">
        <f aca="true" t="shared" si="81" ref="G298:G306">H298+L298+R298</f>
        <v>50000</v>
      </c>
      <c r="H298" s="140"/>
      <c r="I298" s="140"/>
      <c r="J298" s="163"/>
      <c r="K298" s="140"/>
      <c r="L298" s="140">
        <f aca="true" t="shared" si="82" ref="L298:L305">SUM(M298:Q298)</f>
        <v>50000</v>
      </c>
      <c r="M298" s="140"/>
      <c r="N298" s="163">
        <v>50000</v>
      </c>
      <c r="O298" s="140"/>
      <c r="P298" s="140"/>
      <c r="Q298" s="140"/>
      <c r="R298" s="140"/>
      <c r="S298" s="4"/>
      <c r="T298" s="4"/>
    </row>
    <row r="299" spans="1:20" ht="21" customHeight="1">
      <c r="A299" s="162">
        <v>4</v>
      </c>
      <c r="B299" s="158" t="s">
        <v>134</v>
      </c>
      <c r="C299" s="139"/>
      <c r="D299" s="139"/>
      <c r="E299" s="139"/>
      <c r="F299" s="139"/>
      <c r="G299" s="140">
        <f t="shared" si="81"/>
        <v>100000</v>
      </c>
      <c r="H299" s="140"/>
      <c r="I299" s="140"/>
      <c r="J299" s="163"/>
      <c r="K299" s="140"/>
      <c r="L299" s="140">
        <f t="shared" si="82"/>
        <v>100000</v>
      </c>
      <c r="M299" s="140"/>
      <c r="N299" s="163">
        <v>100000</v>
      </c>
      <c r="O299" s="140"/>
      <c r="P299" s="140"/>
      <c r="Q299" s="140"/>
      <c r="R299" s="140"/>
      <c r="S299" s="4"/>
      <c r="T299" s="4"/>
    </row>
    <row r="300" spans="1:20" ht="21" customHeight="1">
      <c r="A300" s="162">
        <v>5</v>
      </c>
      <c r="B300" s="158" t="s">
        <v>425</v>
      </c>
      <c r="C300" s="139"/>
      <c r="D300" s="139"/>
      <c r="E300" s="139"/>
      <c r="F300" s="139"/>
      <c r="G300" s="140">
        <f t="shared" si="81"/>
        <v>110000</v>
      </c>
      <c r="H300" s="140"/>
      <c r="I300" s="140"/>
      <c r="J300" s="163"/>
      <c r="K300" s="140"/>
      <c r="L300" s="140">
        <f>SUM(M300:Q300)</f>
        <v>110000</v>
      </c>
      <c r="M300" s="140">
        <f>SUM(M301:M303)</f>
        <v>30800</v>
      </c>
      <c r="N300" s="140">
        <f>SUM(N301:N303)</f>
        <v>0</v>
      </c>
      <c r="O300" s="140">
        <f>SUM(O301:O303)</f>
        <v>46200</v>
      </c>
      <c r="P300" s="140">
        <f>SUM(P301:P303)</f>
        <v>33000</v>
      </c>
      <c r="Q300" s="140">
        <f>SUM(Q301:Q303)</f>
        <v>0</v>
      </c>
      <c r="R300" s="140"/>
      <c r="S300" s="4"/>
      <c r="T300" s="4"/>
    </row>
    <row r="301" spans="1:22" s="93" customFormat="1" ht="22.5" customHeight="1">
      <c r="A301" s="162" t="s">
        <v>4</v>
      </c>
      <c r="B301" s="161" t="s">
        <v>135</v>
      </c>
      <c r="C301" s="139"/>
      <c r="D301" s="139"/>
      <c r="E301" s="139"/>
      <c r="F301" s="139"/>
      <c r="G301" s="140">
        <f t="shared" si="81"/>
        <v>11000</v>
      </c>
      <c r="H301" s="140"/>
      <c r="I301" s="140"/>
      <c r="J301" s="163"/>
      <c r="K301" s="140"/>
      <c r="L301" s="140">
        <f t="shared" si="82"/>
        <v>11000</v>
      </c>
      <c r="M301" s="140"/>
      <c r="N301" s="163"/>
      <c r="O301" s="140"/>
      <c r="P301" s="140">
        <f>110000*10%</f>
        <v>11000</v>
      </c>
      <c r="Q301" s="140"/>
      <c r="R301" s="140"/>
      <c r="S301" s="130"/>
      <c r="T301" s="130"/>
      <c r="U301" s="130"/>
      <c r="V301" s="130"/>
    </row>
    <row r="302" spans="1:22" s="93" customFormat="1" ht="31.5" customHeight="1">
      <c r="A302" s="162" t="s">
        <v>4</v>
      </c>
      <c r="B302" s="161" t="s">
        <v>136</v>
      </c>
      <c r="C302" s="139"/>
      <c r="D302" s="139"/>
      <c r="E302" s="139"/>
      <c r="F302" s="139"/>
      <c r="G302" s="140">
        <f t="shared" si="81"/>
        <v>22000</v>
      </c>
      <c r="H302" s="140"/>
      <c r="I302" s="140"/>
      <c r="J302" s="163"/>
      <c r="K302" s="140"/>
      <c r="L302" s="140">
        <f t="shared" si="82"/>
        <v>22000</v>
      </c>
      <c r="M302" s="140"/>
      <c r="N302" s="163"/>
      <c r="O302" s="140"/>
      <c r="P302" s="140">
        <f>110000*20%</f>
        <v>22000</v>
      </c>
      <c r="Q302" s="140"/>
      <c r="R302" s="140"/>
      <c r="S302" s="130"/>
      <c r="T302" s="130"/>
      <c r="U302" s="130"/>
      <c r="V302" s="130"/>
    </row>
    <row r="303" spans="1:22" s="93" customFormat="1" ht="21" customHeight="1">
      <c r="A303" s="162" t="s">
        <v>4</v>
      </c>
      <c r="B303" s="161" t="s">
        <v>137</v>
      </c>
      <c r="C303" s="139"/>
      <c r="D303" s="139"/>
      <c r="E303" s="139"/>
      <c r="F303" s="139"/>
      <c r="G303" s="140">
        <f t="shared" si="81"/>
        <v>77000</v>
      </c>
      <c r="H303" s="140"/>
      <c r="I303" s="140"/>
      <c r="J303" s="163"/>
      <c r="K303" s="140"/>
      <c r="L303" s="140">
        <f t="shared" si="82"/>
        <v>77000</v>
      </c>
      <c r="M303" s="140">
        <f>SUM(M304:M305)</f>
        <v>30800</v>
      </c>
      <c r="N303" s="140">
        <f>SUM(N304:N305)</f>
        <v>0</v>
      </c>
      <c r="O303" s="140">
        <f>SUM(O304:O305)</f>
        <v>46200</v>
      </c>
      <c r="P303" s="140">
        <f>SUM(P304:P305)</f>
        <v>0</v>
      </c>
      <c r="Q303" s="140"/>
      <c r="R303" s="140"/>
      <c r="S303" s="130"/>
      <c r="T303" s="130"/>
      <c r="U303" s="130"/>
      <c r="V303" s="130"/>
    </row>
    <row r="304" spans="1:22" s="93" customFormat="1" ht="21.75" customHeight="1">
      <c r="A304" s="162" t="s">
        <v>11</v>
      </c>
      <c r="B304" s="158" t="s">
        <v>138</v>
      </c>
      <c r="C304" s="139"/>
      <c r="D304" s="139"/>
      <c r="E304" s="139"/>
      <c r="F304" s="139"/>
      <c r="G304" s="140">
        <f t="shared" si="81"/>
        <v>30800</v>
      </c>
      <c r="H304" s="140"/>
      <c r="I304" s="140"/>
      <c r="J304" s="163"/>
      <c r="K304" s="140"/>
      <c r="L304" s="140">
        <f t="shared" si="82"/>
        <v>30800</v>
      </c>
      <c r="M304" s="140">
        <f>40%*77000</f>
        <v>30800</v>
      </c>
      <c r="N304" s="163"/>
      <c r="O304" s="140"/>
      <c r="P304" s="140"/>
      <c r="Q304" s="140"/>
      <c r="R304" s="140"/>
      <c r="S304" s="130"/>
      <c r="T304" s="130"/>
      <c r="U304" s="130"/>
      <c r="V304" s="130"/>
    </row>
    <row r="305" spans="1:22" s="93" customFormat="1" ht="21.75" customHeight="1">
      <c r="A305" s="162" t="s">
        <v>11</v>
      </c>
      <c r="B305" s="158" t="s">
        <v>139</v>
      </c>
      <c r="C305" s="139"/>
      <c r="D305" s="139"/>
      <c r="E305" s="139"/>
      <c r="F305" s="139"/>
      <c r="G305" s="140">
        <f t="shared" si="81"/>
        <v>46200</v>
      </c>
      <c r="H305" s="140"/>
      <c r="I305" s="140"/>
      <c r="J305" s="163"/>
      <c r="K305" s="140"/>
      <c r="L305" s="140">
        <f t="shared" si="82"/>
        <v>46200</v>
      </c>
      <c r="M305" s="140"/>
      <c r="N305" s="163"/>
      <c r="O305" s="163">
        <f>60%*77000</f>
        <v>46200</v>
      </c>
      <c r="P305" s="140"/>
      <c r="Q305" s="140"/>
      <c r="R305" s="140"/>
      <c r="S305" s="130"/>
      <c r="T305" s="130"/>
      <c r="U305" s="130"/>
      <c r="V305" s="130"/>
    </row>
    <row r="306" spans="1:20" ht="21.75" customHeight="1">
      <c r="A306" s="162">
        <v>6</v>
      </c>
      <c r="B306" s="158" t="s">
        <v>140</v>
      </c>
      <c r="C306" s="139"/>
      <c r="D306" s="139"/>
      <c r="E306" s="139"/>
      <c r="F306" s="139"/>
      <c r="G306" s="140">
        <f t="shared" si="81"/>
        <v>426000</v>
      </c>
      <c r="H306" s="140"/>
      <c r="I306" s="140"/>
      <c r="J306" s="163"/>
      <c r="K306" s="140"/>
      <c r="L306" s="140">
        <f>SUM(M306:Q306)</f>
        <v>426000</v>
      </c>
      <c r="M306" s="163">
        <v>334000</v>
      </c>
      <c r="N306" s="163">
        <v>68000</v>
      </c>
      <c r="O306" s="140">
        <v>24000</v>
      </c>
      <c r="P306" s="140"/>
      <c r="Q306" s="140"/>
      <c r="R306" s="140"/>
      <c r="S306" s="4"/>
      <c r="T306" s="4"/>
    </row>
    <row r="307" spans="1:18" s="16" customFormat="1" ht="21" customHeight="1">
      <c r="A307" s="97" t="s">
        <v>141</v>
      </c>
      <c r="B307" s="23" t="s">
        <v>509</v>
      </c>
      <c r="C307" s="97"/>
      <c r="D307" s="97"/>
      <c r="E307" s="97"/>
      <c r="F307" s="97"/>
      <c r="G307" s="180" t="s">
        <v>667</v>
      </c>
      <c r="H307" s="138">
        <f aca="true" t="shared" si="83" ref="H307:O307">SUM(H308:H311)</f>
        <v>0</v>
      </c>
      <c r="I307" s="138">
        <f t="shared" si="83"/>
        <v>0</v>
      </c>
      <c r="J307" s="138">
        <f t="shared" si="83"/>
        <v>0</v>
      </c>
      <c r="K307" s="138">
        <f t="shared" si="83"/>
        <v>0</v>
      </c>
      <c r="L307" s="138">
        <f t="shared" si="83"/>
        <v>0</v>
      </c>
      <c r="M307" s="138">
        <f t="shared" si="83"/>
        <v>0</v>
      </c>
      <c r="N307" s="138">
        <f t="shared" si="83"/>
        <v>0</v>
      </c>
      <c r="O307" s="138">
        <f t="shared" si="83"/>
        <v>0</v>
      </c>
      <c r="P307" s="180" t="s">
        <v>667</v>
      </c>
      <c r="Q307" s="138"/>
      <c r="R307" s="138"/>
    </row>
    <row r="308" spans="1:20" ht="19.5" customHeight="1">
      <c r="A308" s="139">
        <v>1</v>
      </c>
      <c r="B308" s="161" t="s">
        <v>142</v>
      </c>
      <c r="C308" s="139"/>
      <c r="D308" s="139"/>
      <c r="E308" s="139"/>
      <c r="F308" s="139"/>
      <c r="G308" s="191" t="s">
        <v>668</v>
      </c>
      <c r="H308" s="140"/>
      <c r="I308" s="140"/>
      <c r="J308" s="140"/>
      <c r="K308" s="140"/>
      <c r="L308" s="140"/>
      <c r="M308" s="140"/>
      <c r="N308" s="140"/>
      <c r="O308" s="140"/>
      <c r="P308" s="191" t="s">
        <v>668</v>
      </c>
      <c r="Q308" s="140"/>
      <c r="R308" s="140"/>
      <c r="S308" s="4"/>
      <c r="T308" s="4"/>
    </row>
    <row r="309" spans="1:20" ht="20.25" customHeight="1">
      <c r="A309" s="139">
        <v>2</v>
      </c>
      <c r="B309" s="161" t="s">
        <v>143</v>
      </c>
      <c r="C309" s="139"/>
      <c r="D309" s="139"/>
      <c r="E309" s="139"/>
      <c r="F309" s="139"/>
      <c r="G309" s="191" t="s">
        <v>669</v>
      </c>
      <c r="H309" s="140"/>
      <c r="I309" s="140"/>
      <c r="J309" s="140"/>
      <c r="K309" s="140"/>
      <c r="L309" s="140"/>
      <c r="M309" s="140"/>
      <c r="N309" s="140"/>
      <c r="O309" s="140"/>
      <c r="P309" s="191" t="s">
        <v>669</v>
      </c>
      <c r="Q309" s="140"/>
      <c r="R309" s="140"/>
      <c r="S309" s="4"/>
      <c r="T309" s="4"/>
    </row>
    <row r="310" spans="1:20" ht="30.75" customHeight="1">
      <c r="A310" s="139">
        <v>3</v>
      </c>
      <c r="B310" s="133" t="s">
        <v>511</v>
      </c>
      <c r="C310" s="139"/>
      <c r="D310" s="139"/>
      <c r="E310" s="139"/>
      <c r="F310" s="139"/>
      <c r="G310" s="191" t="s">
        <v>670</v>
      </c>
      <c r="H310" s="140"/>
      <c r="I310" s="140"/>
      <c r="J310" s="140"/>
      <c r="K310" s="140"/>
      <c r="L310" s="140"/>
      <c r="M310" s="140"/>
      <c r="N310" s="140"/>
      <c r="O310" s="140"/>
      <c r="P310" s="191" t="s">
        <v>670</v>
      </c>
      <c r="Q310" s="140"/>
      <c r="R310" s="140"/>
      <c r="S310" s="4"/>
      <c r="T310" s="4"/>
    </row>
    <row r="311" spans="1:20" ht="22.5" customHeight="1">
      <c r="A311" s="139">
        <v>4</v>
      </c>
      <c r="B311" s="133" t="s">
        <v>538</v>
      </c>
      <c r="C311" s="139"/>
      <c r="D311" s="139"/>
      <c r="E311" s="139"/>
      <c r="F311" s="139"/>
      <c r="G311" s="140">
        <f>1219000-G308-G309-G310</f>
        <v>273100</v>
      </c>
      <c r="H311" s="140"/>
      <c r="I311" s="140"/>
      <c r="J311" s="140"/>
      <c r="K311" s="140"/>
      <c r="L311" s="140"/>
      <c r="M311" s="140"/>
      <c r="N311" s="140"/>
      <c r="O311" s="140"/>
      <c r="P311" s="140">
        <f>1219000-P308-P309-P310</f>
        <v>273100</v>
      </c>
      <c r="Q311" s="140"/>
      <c r="R311" s="140"/>
      <c r="S311" s="4"/>
      <c r="T311" s="4"/>
    </row>
    <row r="312" ht="15">
      <c r="B312" s="15"/>
    </row>
  </sheetData>
  <sheetProtection/>
  <mergeCells count="24">
    <mergeCell ref="P6:R6"/>
    <mergeCell ref="L9:Q9"/>
    <mergeCell ref="R9:R11"/>
    <mergeCell ref="C7:R7"/>
    <mergeCell ref="C8:F8"/>
    <mergeCell ref="D10:D11"/>
    <mergeCell ref="E10:E11"/>
    <mergeCell ref="F10:F11"/>
    <mergeCell ref="H10:H11"/>
    <mergeCell ref="G8:G11"/>
    <mergeCell ref="I10:K10"/>
    <mergeCell ref="L10:L11"/>
    <mergeCell ref="M10:Q10"/>
    <mergeCell ref="A5:R5"/>
    <mergeCell ref="A7:A11"/>
    <mergeCell ref="H8:R8"/>
    <mergeCell ref="C9:C11"/>
    <mergeCell ref="D9:F9"/>
    <mergeCell ref="H9:K9"/>
    <mergeCell ref="B7:B11"/>
    <mergeCell ref="A1:R1"/>
    <mergeCell ref="A2:R2"/>
    <mergeCell ref="A3:R3"/>
    <mergeCell ref="A4:R4"/>
  </mergeCells>
  <printOptions/>
  <pageMargins left="0.17" right="0.17" top="0.19" bottom="0.31" header="0.17" footer="0.17"/>
  <pageSetup horizontalDpi="600" verticalDpi="600" orientation="landscape" paperSize="9" scale="73" r:id="rId3"/>
  <headerFooter alignWithMargins="0">
    <oddFooter>&amp;CPage &amp;P</oddFooter>
  </headerFooter>
  <legacyDrawing r:id="rId2"/>
</worksheet>
</file>

<file path=xl/worksheets/sheet6.xml><?xml version="1.0" encoding="utf-8"?>
<worksheet xmlns="http://schemas.openxmlformats.org/spreadsheetml/2006/main" xmlns:r="http://schemas.openxmlformats.org/officeDocument/2006/relationships">
  <dimension ref="A1:N34"/>
  <sheetViews>
    <sheetView zoomScalePageLayoutView="0" workbookViewId="0" topLeftCell="E4">
      <selection activeCell="E10" sqref="E10"/>
    </sheetView>
  </sheetViews>
  <sheetFormatPr defaultColWidth="9.00390625" defaultRowHeight="15.75"/>
  <cols>
    <col min="1" max="1" width="5.25390625" style="45" customWidth="1"/>
    <col min="2" max="2" width="14.50390625" style="43" customWidth="1"/>
    <col min="3" max="3" width="12.375" style="43" customWidth="1"/>
    <col min="4" max="4" width="13.25390625" style="43" customWidth="1"/>
    <col min="5" max="5" width="13.75390625" style="43" customWidth="1"/>
    <col min="6" max="7" width="13.25390625" style="43" customWidth="1"/>
    <col min="8" max="8" width="9.25390625" style="43" customWidth="1"/>
    <col min="9" max="9" width="10.375" style="43" customWidth="1"/>
    <col min="10" max="11" width="12.75390625" style="43" customWidth="1"/>
    <col min="12" max="12" width="9.75390625" style="43" customWidth="1"/>
    <col min="13" max="13" width="15.00390625" style="43" customWidth="1"/>
    <col min="14" max="14" width="15.375" style="43" customWidth="1"/>
    <col min="15" max="16384" width="9.00390625" style="43" customWidth="1"/>
  </cols>
  <sheetData>
    <row r="1" spans="1:13" ht="20.25" customHeight="1">
      <c r="A1" s="299" t="s">
        <v>598</v>
      </c>
      <c r="B1" s="300"/>
      <c r="C1" s="300"/>
      <c r="D1" s="300"/>
      <c r="E1" s="300"/>
      <c r="F1" s="300"/>
      <c r="G1" s="300"/>
      <c r="H1" s="300"/>
      <c r="I1" s="300"/>
      <c r="J1" s="300"/>
      <c r="K1" s="300"/>
      <c r="L1" s="300"/>
      <c r="M1" s="300"/>
    </row>
    <row r="2" spans="1:13" s="44" customFormat="1" ht="24" customHeight="1">
      <c r="A2" s="299" t="s">
        <v>353</v>
      </c>
      <c r="B2" s="300"/>
      <c r="C2" s="300"/>
      <c r="D2" s="300"/>
      <c r="E2" s="300"/>
      <c r="F2" s="300"/>
      <c r="G2" s="300"/>
      <c r="H2" s="300"/>
      <c r="I2" s="300"/>
      <c r="J2" s="300"/>
      <c r="K2" s="300"/>
      <c r="L2" s="300"/>
      <c r="M2" s="300"/>
    </row>
    <row r="3" spans="1:13" ht="24" customHeight="1" hidden="1">
      <c r="A3" s="301" t="s">
        <v>306</v>
      </c>
      <c r="B3" s="302"/>
      <c r="C3" s="302"/>
      <c r="D3" s="302"/>
      <c r="E3" s="302"/>
      <c r="F3" s="302"/>
      <c r="G3" s="302"/>
      <c r="H3" s="302"/>
      <c r="I3" s="302"/>
      <c r="J3" s="302"/>
      <c r="K3" s="302"/>
      <c r="L3" s="302"/>
      <c r="M3" s="302"/>
    </row>
    <row r="4" spans="1:13" s="5" customFormat="1" ht="22.5" customHeight="1">
      <c r="A4" s="303" t="s">
        <v>419</v>
      </c>
      <c r="B4" s="304"/>
      <c r="C4" s="304"/>
      <c r="D4" s="304"/>
      <c r="E4" s="304"/>
      <c r="F4" s="304"/>
      <c r="G4" s="304"/>
      <c r="H4" s="304"/>
      <c r="I4" s="304"/>
      <c r="J4" s="304"/>
      <c r="K4" s="304"/>
      <c r="L4" s="304"/>
      <c r="M4" s="304"/>
    </row>
    <row r="5" spans="1:13" s="5" customFormat="1" ht="22.5" customHeight="1" hidden="1">
      <c r="A5" s="301" t="s">
        <v>144</v>
      </c>
      <c r="B5" s="302"/>
      <c r="C5" s="302"/>
      <c r="D5" s="302"/>
      <c r="E5" s="302"/>
      <c r="F5" s="302"/>
      <c r="G5" s="302"/>
      <c r="H5" s="302"/>
      <c r="I5" s="302"/>
      <c r="J5" s="302"/>
      <c r="K5" s="302"/>
      <c r="L5" s="302"/>
      <c r="M5" s="302"/>
    </row>
    <row r="6" spans="1:13" s="44" customFormat="1" ht="19.5" customHeight="1">
      <c r="A6" s="42"/>
      <c r="L6" s="305" t="s">
        <v>188</v>
      </c>
      <c r="M6" s="305"/>
    </row>
    <row r="7" spans="1:13" s="44" customFormat="1" ht="24" customHeight="1">
      <c r="A7" s="306" t="s">
        <v>0</v>
      </c>
      <c r="B7" s="306" t="s">
        <v>15</v>
      </c>
      <c r="C7" s="306" t="s">
        <v>169</v>
      </c>
      <c r="D7" s="306" t="s">
        <v>1</v>
      </c>
      <c r="E7" s="307"/>
      <c r="F7" s="306" t="s">
        <v>189</v>
      </c>
      <c r="G7" s="306" t="s">
        <v>1</v>
      </c>
      <c r="H7" s="306"/>
      <c r="I7" s="307"/>
      <c r="J7" s="306" t="s">
        <v>190</v>
      </c>
      <c r="K7" s="306" t="s">
        <v>1</v>
      </c>
      <c r="L7" s="307"/>
      <c r="M7" s="306" t="s">
        <v>191</v>
      </c>
    </row>
    <row r="8" spans="1:13" s="44" customFormat="1" ht="81.75" customHeight="1">
      <c r="A8" s="307"/>
      <c r="B8" s="307"/>
      <c r="C8" s="307"/>
      <c r="D8" s="194" t="s">
        <v>192</v>
      </c>
      <c r="E8" s="194" t="s">
        <v>274</v>
      </c>
      <c r="F8" s="307"/>
      <c r="G8" s="194" t="s">
        <v>22</v>
      </c>
      <c r="H8" s="194" t="s">
        <v>273</v>
      </c>
      <c r="I8" s="194" t="s">
        <v>193</v>
      </c>
      <c r="J8" s="307"/>
      <c r="K8" s="194" t="s">
        <v>194</v>
      </c>
      <c r="L8" s="194" t="s">
        <v>195</v>
      </c>
      <c r="M8" s="307"/>
    </row>
    <row r="9" spans="1:13" ht="28.5" customHeight="1">
      <c r="A9" s="195">
        <v>1</v>
      </c>
      <c r="B9" s="197" t="s">
        <v>228</v>
      </c>
      <c r="C9" s="280">
        <v>5662300.42</v>
      </c>
      <c r="D9" s="280">
        <v>4669300.42</v>
      </c>
      <c r="E9" s="280">
        <v>993000</v>
      </c>
      <c r="F9" s="198">
        <v>5662300.42</v>
      </c>
      <c r="G9" s="280">
        <v>5531400.42</v>
      </c>
      <c r="H9" s="280"/>
      <c r="I9" s="198">
        <v>130900</v>
      </c>
      <c r="J9" s="279">
        <v>4669300.42</v>
      </c>
      <c r="K9" s="280">
        <v>4538400.42</v>
      </c>
      <c r="L9" s="198">
        <v>130900</v>
      </c>
      <c r="M9" s="309" t="s">
        <v>196</v>
      </c>
    </row>
    <row r="10" spans="1:13" ht="26.25" customHeight="1">
      <c r="A10" s="195">
        <v>2</v>
      </c>
      <c r="B10" s="197" t="s">
        <v>229</v>
      </c>
      <c r="C10" s="280">
        <v>5054999.966</v>
      </c>
      <c r="D10" s="280">
        <v>5020599.966</v>
      </c>
      <c r="E10" s="198">
        <v>34400</v>
      </c>
      <c r="F10" s="198">
        <v>5054999.966</v>
      </c>
      <c r="G10" s="280">
        <v>4939499.966</v>
      </c>
      <c r="H10" s="280"/>
      <c r="I10" s="198">
        <v>115500</v>
      </c>
      <c r="J10" s="279">
        <v>5020599.966</v>
      </c>
      <c r="K10" s="280">
        <v>4905099.966</v>
      </c>
      <c r="L10" s="198">
        <v>115500</v>
      </c>
      <c r="M10" s="309"/>
    </row>
    <row r="11" spans="1:13" ht="26.25" customHeight="1">
      <c r="A11" s="195">
        <v>3</v>
      </c>
      <c r="B11" s="197" t="s">
        <v>230</v>
      </c>
      <c r="C11" s="280">
        <v>4433999.57</v>
      </c>
      <c r="D11" s="280">
        <v>4420299.57</v>
      </c>
      <c r="E11" s="198">
        <v>13700</v>
      </c>
      <c r="F11" s="198">
        <v>4433999.57</v>
      </c>
      <c r="G11" s="280">
        <v>4356999.57</v>
      </c>
      <c r="H11" s="280"/>
      <c r="I11" s="198">
        <v>77000</v>
      </c>
      <c r="J11" s="279">
        <v>4420299.57</v>
      </c>
      <c r="K11" s="280">
        <v>4343299.57</v>
      </c>
      <c r="L11" s="198">
        <v>77000</v>
      </c>
      <c r="M11" s="309"/>
    </row>
    <row r="12" spans="1:13" ht="24.75" customHeight="1">
      <c r="A12" s="195">
        <v>4</v>
      </c>
      <c r="B12" s="197" t="s">
        <v>231</v>
      </c>
      <c r="C12" s="280">
        <v>6168800.319999999</v>
      </c>
      <c r="D12" s="280">
        <v>6112800.319999999</v>
      </c>
      <c r="E12" s="198">
        <v>56000</v>
      </c>
      <c r="F12" s="198">
        <v>6168800.319999999</v>
      </c>
      <c r="G12" s="280">
        <v>6053600.319999999</v>
      </c>
      <c r="H12" s="280"/>
      <c r="I12" s="198">
        <v>115200</v>
      </c>
      <c r="J12" s="279">
        <v>6112800.319999999</v>
      </c>
      <c r="K12" s="280">
        <v>5997600.319999999</v>
      </c>
      <c r="L12" s="198">
        <v>115200</v>
      </c>
      <c r="M12" s="309"/>
    </row>
    <row r="13" spans="1:13" ht="24.75" customHeight="1">
      <c r="A13" s="195">
        <v>5</v>
      </c>
      <c r="B13" s="197" t="s">
        <v>232</v>
      </c>
      <c r="C13" s="280">
        <v>6248499.96</v>
      </c>
      <c r="D13" s="280">
        <v>6234799.96</v>
      </c>
      <c r="E13" s="198">
        <v>13700</v>
      </c>
      <c r="F13" s="198">
        <v>6248499.96</v>
      </c>
      <c r="G13" s="280">
        <v>6166099.96</v>
      </c>
      <c r="H13" s="280"/>
      <c r="I13" s="198">
        <v>82400</v>
      </c>
      <c r="J13" s="279">
        <v>6234799.96</v>
      </c>
      <c r="K13" s="280">
        <v>6152399.96</v>
      </c>
      <c r="L13" s="198">
        <v>82400</v>
      </c>
      <c r="M13" s="309"/>
    </row>
    <row r="14" spans="1:13" ht="22.5" customHeight="1">
      <c r="A14" s="195">
        <v>6</v>
      </c>
      <c r="B14" s="197" t="s">
        <v>233</v>
      </c>
      <c r="C14" s="280">
        <v>6561199.659999999</v>
      </c>
      <c r="D14" s="280">
        <v>6508199.659999999</v>
      </c>
      <c r="E14" s="198">
        <v>53000</v>
      </c>
      <c r="F14" s="198">
        <v>6561199.659999999</v>
      </c>
      <c r="G14" s="280">
        <v>6437999.659999999</v>
      </c>
      <c r="H14" s="280"/>
      <c r="I14" s="198">
        <v>123200</v>
      </c>
      <c r="J14" s="279">
        <v>6508199.659999999</v>
      </c>
      <c r="K14" s="280">
        <v>6384999.659999999</v>
      </c>
      <c r="L14" s="198">
        <v>123200</v>
      </c>
      <c r="M14" s="309"/>
    </row>
    <row r="15" spans="1:14" ht="24.75" customHeight="1">
      <c r="A15" s="195">
        <v>7</v>
      </c>
      <c r="B15" s="197" t="s">
        <v>234</v>
      </c>
      <c r="C15" s="280">
        <v>6314300.0600000005</v>
      </c>
      <c r="D15" s="280">
        <v>6208300.0600000005</v>
      </c>
      <c r="E15" s="198">
        <v>106000</v>
      </c>
      <c r="F15" s="198">
        <v>6314300.0600000005</v>
      </c>
      <c r="G15" s="280">
        <v>6114400.0600000005</v>
      </c>
      <c r="H15" s="280"/>
      <c r="I15" s="198">
        <v>199900</v>
      </c>
      <c r="J15" s="279">
        <v>6208300.0600000005</v>
      </c>
      <c r="K15" s="280">
        <v>6008400.0600000005</v>
      </c>
      <c r="L15" s="198">
        <v>199900</v>
      </c>
      <c r="M15" s="309"/>
      <c r="N15" s="46"/>
    </row>
    <row r="16" spans="1:13" ht="24.75" customHeight="1">
      <c r="A16" s="195">
        <v>8</v>
      </c>
      <c r="B16" s="197" t="s">
        <v>197</v>
      </c>
      <c r="C16" s="280">
        <v>5794000.359999999</v>
      </c>
      <c r="D16" s="280">
        <v>5770300.359999999</v>
      </c>
      <c r="E16" s="198">
        <v>23700</v>
      </c>
      <c r="F16" s="198">
        <v>5794000.359999999</v>
      </c>
      <c r="G16" s="280">
        <v>5692200.359999999</v>
      </c>
      <c r="H16" s="280"/>
      <c r="I16" s="198">
        <v>101800</v>
      </c>
      <c r="J16" s="279">
        <v>5770300.359999999</v>
      </c>
      <c r="K16" s="280">
        <v>5668500.359999999</v>
      </c>
      <c r="L16" s="198">
        <v>101800</v>
      </c>
      <c r="M16" s="309"/>
    </row>
    <row r="17" spans="1:13" s="47" customFormat="1" ht="25.5" customHeight="1">
      <c r="A17" s="310" t="s">
        <v>597</v>
      </c>
      <c r="B17" s="310"/>
      <c r="C17" s="279">
        <v>46238100.316</v>
      </c>
      <c r="D17" s="279">
        <v>44944600.316</v>
      </c>
      <c r="E17" s="279">
        <v>1293500</v>
      </c>
      <c r="F17" s="279">
        <v>46238100.316</v>
      </c>
      <c r="G17" s="279">
        <v>45292200.316</v>
      </c>
      <c r="H17" s="279">
        <v>0</v>
      </c>
      <c r="I17" s="279">
        <v>945900</v>
      </c>
      <c r="J17" s="279">
        <v>44944600.316</v>
      </c>
      <c r="K17" s="279">
        <v>43998700.316</v>
      </c>
      <c r="L17" s="279">
        <v>945900</v>
      </c>
      <c r="M17" s="196"/>
    </row>
    <row r="18" spans="3:10" ht="18" customHeight="1">
      <c r="C18" s="46"/>
      <c r="J18" s="46"/>
    </row>
    <row r="19" spans="3:10" ht="13.5" customHeight="1">
      <c r="C19" s="46"/>
      <c r="D19" s="48"/>
      <c r="J19" s="87"/>
    </row>
    <row r="20" spans="3:10" s="44" customFormat="1" ht="15.75">
      <c r="C20" s="49"/>
      <c r="J20" s="88"/>
    </row>
    <row r="21" spans="1:10" s="50" customFormat="1" ht="15.75">
      <c r="A21" s="44"/>
      <c r="B21" s="44"/>
      <c r="C21" s="44"/>
      <c r="D21" s="44"/>
      <c r="E21" s="44"/>
      <c r="J21" s="89"/>
    </row>
    <row r="22" spans="1:8" s="44" customFormat="1" ht="15.75">
      <c r="A22" s="42"/>
      <c r="G22" s="48"/>
      <c r="H22" s="48"/>
    </row>
    <row r="23" s="44" customFormat="1" ht="15.75">
      <c r="A23" s="42"/>
    </row>
    <row r="24" s="44" customFormat="1" ht="15.75">
      <c r="A24" s="42"/>
    </row>
    <row r="25" s="44" customFormat="1" ht="15.75">
      <c r="A25" s="42"/>
    </row>
    <row r="26" s="44" customFormat="1" ht="15.75">
      <c r="A26" s="42"/>
    </row>
    <row r="27" s="44" customFormat="1" ht="15.75">
      <c r="A27" s="42"/>
    </row>
    <row r="28" spans="1:13" s="51" customFormat="1" ht="25.5" customHeight="1">
      <c r="A28" s="299"/>
      <c r="B28" s="299"/>
      <c r="C28" s="299"/>
      <c r="D28" s="299"/>
      <c r="E28" s="299"/>
      <c r="J28" s="299"/>
      <c r="K28" s="299"/>
      <c r="L28" s="299"/>
      <c r="M28" s="299"/>
    </row>
    <row r="34" spans="9:10" ht="15.75">
      <c r="I34" s="308"/>
      <c r="J34" s="308"/>
    </row>
  </sheetData>
  <sheetProtection/>
  <mergeCells count="20">
    <mergeCell ref="I34:J34"/>
    <mergeCell ref="A28:E28"/>
    <mergeCell ref="J28:M28"/>
    <mergeCell ref="M7:M8"/>
    <mergeCell ref="M9:M16"/>
    <mergeCell ref="A17:B17"/>
    <mergeCell ref="A7:A8"/>
    <mergeCell ref="B7:B8"/>
    <mergeCell ref="A5:M5"/>
    <mergeCell ref="L6:M6"/>
    <mergeCell ref="J7:J8"/>
    <mergeCell ref="K7:L7"/>
    <mergeCell ref="C7:C8"/>
    <mergeCell ref="D7:E7"/>
    <mergeCell ref="F7:F8"/>
    <mergeCell ref="G7:I7"/>
    <mergeCell ref="A1:M1"/>
    <mergeCell ref="A2:M2"/>
    <mergeCell ref="A3:M3"/>
    <mergeCell ref="A4:M4"/>
  </mergeCells>
  <printOptions/>
  <pageMargins left="0.45" right="0.2" top="0.37" bottom="0.5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3"/>
  <sheetViews>
    <sheetView zoomScalePageLayoutView="0" workbookViewId="0" topLeftCell="A1">
      <pane xSplit="2" ySplit="6" topLeftCell="C7" activePane="bottomRight" state="frozen"/>
      <selection pane="topLeft" activeCell="A1" sqref="A1"/>
      <selection pane="topRight" activeCell="C1" sqref="C1"/>
      <selection pane="bottomLeft" activeCell="A8" sqref="A8"/>
      <selection pane="bottomRight" activeCell="D55" sqref="D55"/>
    </sheetView>
  </sheetViews>
  <sheetFormatPr defaultColWidth="9.00390625" defaultRowHeight="15.75"/>
  <cols>
    <col min="1" max="1" width="5.25390625" style="5" customWidth="1"/>
    <col min="2" max="2" width="47.00390625" style="5" customWidth="1"/>
    <col min="3" max="3" width="11.375" style="5" customWidth="1"/>
    <col min="4" max="4" width="11.50390625" style="5" customWidth="1"/>
    <col min="5" max="5" width="11.625" style="5" customWidth="1"/>
    <col min="6" max="6" width="11.75390625" style="5" customWidth="1"/>
    <col min="7" max="7" width="12.00390625" style="5" customWidth="1"/>
    <col min="8" max="8" width="11.875" style="5" customWidth="1"/>
    <col min="9" max="9" width="11.625" style="5" customWidth="1"/>
    <col min="10" max="10" width="11.50390625" style="5" customWidth="1"/>
    <col min="11" max="11" width="12.625" style="5" customWidth="1"/>
    <col min="12" max="12" width="8.75390625" style="2" customWidth="1"/>
    <col min="13" max="13" width="9.25390625" style="5" bestFit="1" customWidth="1"/>
    <col min="14" max="14" width="9.125" style="5" bestFit="1" customWidth="1"/>
    <col min="15" max="16384" width="9.00390625" style="5" customWidth="1"/>
  </cols>
  <sheetData>
    <row r="1" spans="1:11" ht="20.25" customHeight="1">
      <c r="A1" s="294" t="s">
        <v>599</v>
      </c>
      <c r="B1" s="295"/>
      <c r="C1" s="295"/>
      <c r="D1" s="295"/>
      <c r="E1" s="295"/>
      <c r="F1" s="295"/>
      <c r="G1" s="295"/>
      <c r="H1" s="295"/>
      <c r="I1" s="295"/>
      <c r="J1" s="295"/>
      <c r="K1" s="295"/>
    </row>
    <row r="2" spans="1:12" s="37" customFormat="1" ht="22.5" customHeight="1">
      <c r="A2" s="294" t="s">
        <v>354</v>
      </c>
      <c r="B2" s="295"/>
      <c r="C2" s="295"/>
      <c r="D2" s="295"/>
      <c r="E2" s="295"/>
      <c r="F2" s="295"/>
      <c r="G2" s="295"/>
      <c r="H2" s="295"/>
      <c r="I2" s="295"/>
      <c r="J2" s="295"/>
      <c r="K2" s="295"/>
      <c r="L2" s="52"/>
    </row>
    <row r="3" spans="1:13" s="37" customFormat="1" ht="15" customHeight="1">
      <c r="A3" s="303" t="s">
        <v>419</v>
      </c>
      <c r="B3" s="304"/>
      <c r="C3" s="304"/>
      <c r="D3" s="304"/>
      <c r="E3" s="304"/>
      <c r="F3" s="304"/>
      <c r="G3" s="304"/>
      <c r="H3" s="304"/>
      <c r="I3" s="304"/>
      <c r="J3" s="304"/>
      <c r="K3" s="304"/>
      <c r="L3" s="304"/>
      <c r="M3" s="304"/>
    </row>
    <row r="4" spans="1:11" ht="20.25" customHeight="1">
      <c r="A4" s="19"/>
      <c r="B4" s="19"/>
      <c r="C4" s="20"/>
      <c r="D4" s="20"/>
      <c r="E4" s="20"/>
      <c r="F4" s="20"/>
      <c r="G4" s="20"/>
      <c r="H4" s="20"/>
      <c r="I4" s="20"/>
      <c r="J4" s="183" t="s">
        <v>188</v>
      </c>
      <c r="K4" s="183"/>
    </row>
    <row r="5" spans="1:12" s="19" customFormat="1" ht="39" customHeight="1">
      <c r="A5" s="199" t="s">
        <v>0</v>
      </c>
      <c r="B5" s="199" t="s">
        <v>198</v>
      </c>
      <c r="C5" s="199" t="s">
        <v>228</v>
      </c>
      <c r="D5" s="199" t="s">
        <v>229</v>
      </c>
      <c r="E5" s="199" t="s">
        <v>230</v>
      </c>
      <c r="F5" s="199" t="s">
        <v>231</v>
      </c>
      <c r="G5" s="199" t="s">
        <v>232</v>
      </c>
      <c r="H5" s="199" t="s">
        <v>233</v>
      </c>
      <c r="I5" s="199" t="s">
        <v>234</v>
      </c>
      <c r="J5" s="199" t="s">
        <v>197</v>
      </c>
      <c r="K5" s="199" t="s">
        <v>671</v>
      </c>
      <c r="L5" s="26"/>
    </row>
    <row r="6" spans="1:12" s="16" customFormat="1" ht="25.5" customHeight="1">
      <c r="A6" s="200"/>
      <c r="B6" s="199" t="s">
        <v>600</v>
      </c>
      <c r="C6" s="201">
        <v>5662300.42</v>
      </c>
      <c r="D6" s="201">
        <v>5054999.966</v>
      </c>
      <c r="E6" s="201">
        <v>4433999.57</v>
      </c>
      <c r="F6" s="201">
        <v>6168800.319999999</v>
      </c>
      <c r="G6" s="201">
        <v>6248499.96</v>
      </c>
      <c r="H6" s="201">
        <v>6561199.659999999</v>
      </c>
      <c r="I6" s="201">
        <v>6314300.0600000005</v>
      </c>
      <c r="J6" s="201">
        <v>5794000.359999999</v>
      </c>
      <c r="K6" s="201">
        <v>46665640</v>
      </c>
      <c r="L6" s="14"/>
    </row>
    <row r="7" spans="1:17" s="11" customFormat="1" ht="21.75" customHeight="1">
      <c r="A7" s="200" t="s">
        <v>26</v>
      </c>
      <c r="B7" s="202" t="s">
        <v>434</v>
      </c>
      <c r="C7" s="201">
        <v>0</v>
      </c>
      <c r="D7" s="201"/>
      <c r="E7" s="201"/>
      <c r="F7" s="201"/>
      <c r="G7" s="201"/>
      <c r="H7" s="201"/>
      <c r="I7" s="201"/>
      <c r="J7" s="201"/>
      <c r="K7" s="201">
        <v>0</v>
      </c>
      <c r="L7" s="220"/>
      <c r="M7" s="221"/>
      <c r="N7" s="221"/>
      <c r="O7" s="221"/>
      <c r="P7" s="221"/>
      <c r="Q7" s="221"/>
    </row>
    <row r="8" spans="1:17" s="11" customFormat="1" ht="19.5" customHeight="1">
      <c r="A8" s="203"/>
      <c r="B8" s="203" t="s">
        <v>28</v>
      </c>
      <c r="C8" s="204">
        <v>0</v>
      </c>
      <c r="D8" s="204"/>
      <c r="E8" s="204"/>
      <c r="F8" s="204"/>
      <c r="G8" s="204"/>
      <c r="H8" s="204"/>
      <c r="I8" s="204"/>
      <c r="J8" s="204"/>
      <c r="K8" s="204">
        <v>0</v>
      </c>
      <c r="L8" s="220"/>
      <c r="M8" s="221"/>
      <c r="N8" s="221"/>
      <c r="O8" s="221"/>
      <c r="P8" s="221"/>
      <c r="Q8" s="221"/>
    </row>
    <row r="9" spans="1:17" s="10" customFormat="1" ht="19.5" customHeight="1">
      <c r="A9" s="200" t="s">
        <v>33</v>
      </c>
      <c r="B9" s="205" t="s">
        <v>437</v>
      </c>
      <c r="C9" s="201">
        <v>5662300.42</v>
      </c>
      <c r="D9" s="201">
        <v>5054999.966</v>
      </c>
      <c r="E9" s="201">
        <v>4433999.57</v>
      </c>
      <c r="F9" s="201">
        <v>6168800.319999999</v>
      </c>
      <c r="G9" s="201">
        <v>6248499.96</v>
      </c>
      <c r="H9" s="201">
        <v>6561199.659999999</v>
      </c>
      <c r="I9" s="201">
        <v>6314300.0600000005</v>
      </c>
      <c r="J9" s="201">
        <v>5794000.359999999</v>
      </c>
      <c r="K9" s="201">
        <v>46665640</v>
      </c>
      <c r="L9" s="220"/>
      <c r="M9" s="221"/>
      <c r="N9" s="221"/>
      <c r="O9" s="221"/>
      <c r="P9" s="221"/>
      <c r="Q9" s="221"/>
    </row>
    <row r="10" spans="1:17" s="10" customFormat="1" ht="19.5" customHeight="1">
      <c r="A10" s="199" t="s">
        <v>27</v>
      </c>
      <c r="B10" s="206" t="s">
        <v>199</v>
      </c>
      <c r="C10" s="201">
        <v>388200</v>
      </c>
      <c r="D10" s="201">
        <v>139700</v>
      </c>
      <c r="E10" s="201">
        <v>0</v>
      </c>
      <c r="F10" s="201">
        <v>229050</v>
      </c>
      <c r="G10" s="201">
        <v>217450</v>
      </c>
      <c r="H10" s="201">
        <v>324100</v>
      </c>
      <c r="I10" s="201">
        <v>211000</v>
      </c>
      <c r="J10" s="201">
        <v>304000</v>
      </c>
      <c r="K10" s="201">
        <v>1813500</v>
      </c>
      <c r="L10" s="220"/>
      <c r="M10" s="221"/>
      <c r="N10" s="221"/>
      <c r="O10" s="221"/>
      <c r="P10" s="221"/>
      <c r="Q10" s="221"/>
    </row>
    <row r="11" spans="1:17" s="11" customFormat="1" ht="19.5" customHeight="1">
      <c r="A11" s="207">
        <v>1</v>
      </c>
      <c r="B11" s="208" t="s">
        <v>200</v>
      </c>
      <c r="C11" s="204">
        <v>388200</v>
      </c>
      <c r="D11" s="204">
        <v>139700</v>
      </c>
      <c r="E11" s="204">
        <v>0</v>
      </c>
      <c r="F11" s="204">
        <v>229050</v>
      </c>
      <c r="G11" s="204">
        <v>217450</v>
      </c>
      <c r="H11" s="204">
        <v>324100</v>
      </c>
      <c r="I11" s="204">
        <v>211000</v>
      </c>
      <c r="J11" s="204">
        <v>304000</v>
      </c>
      <c r="K11" s="204">
        <v>1813500</v>
      </c>
      <c r="L11" s="220"/>
      <c r="M11" s="221"/>
      <c r="N11" s="221"/>
      <c r="O11" s="221"/>
      <c r="P11" s="221"/>
      <c r="Q11" s="221"/>
    </row>
    <row r="12" spans="1:17" s="10" customFormat="1" ht="19.5" customHeight="1">
      <c r="A12" s="199" t="s">
        <v>201</v>
      </c>
      <c r="B12" s="206" t="s">
        <v>202</v>
      </c>
      <c r="C12" s="201">
        <v>379928</v>
      </c>
      <c r="D12" s="201">
        <v>434536</v>
      </c>
      <c r="E12" s="201">
        <v>261114</v>
      </c>
      <c r="F12" s="201">
        <v>570828</v>
      </c>
      <c r="G12" s="201">
        <v>467196</v>
      </c>
      <c r="H12" s="201">
        <v>357192</v>
      </c>
      <c r="I12" s="201">
        <v>687408</v>
      </c>
      <c r="J12" s="201">
        <v>471798</v>
      </c>
      <c r="K12" s="201">
        <v>3630000</v>
      </c>
      <c r="L12" s="220"/>
      <c r="M12" s="221"/>
      <c r="N12" s="221"/>
      <c r="O12" s="221"/>
      <c r="P12" s="221"/>
      <c r="Q12" s="221"/>
    </row>
    <row r="13" spans="1:17" s="11" customFormat="1" ht="19.5" customHeight="1">
      <c r="A13" s="207">
        <v>1</v>
      </c>
      <c r="B13" s="208" t="s">
        <v>203</v>
      </c>
      <c r="C13" s="204">
        <v>234600</v>
      </c>
      <c r="D13" s="204">
        <v>289800</v>
      </c>
      <c r="E13" s="204">
        <v>138000</v>
      </c>
      <c r="F13" s="204">
        <v>220800</v>
      </c>
      <c r="G13" s="204">
        <v>165600</v>
      </c>
      <c r="H13" s="204">
        <v>220800</v>
      </c>
      <c r="I13" s="204">
        <v>382950</v>
      </c>
      <c r="J13" s="204">
        <v>188370</v>
      </c>
      <c r="K13" s="204">
        <v>1840920</v>
      </c>
      <c r="L13" s="220"/>
      <c r="M13" s="221"/>
      <c r="N13" s="221"/>
      <c r="O13" s="221"/>
      <c r="P13" s="221"/>
      <c r="Q13" s="221"/>
    </row>
    <row r="14" spans="1:17" s="10" customFormat="1" ht="19.5" customHeight="1">
      <c r="A14" s="210" t="s">
        <v>11</v>
      </c>
      <c r="B14" s="208" t="s">
        <v>601</v>
      </c>
      <c r="C14" s="209">
        <v>234600</v>
      </c>
      <c r="D14" s="209">
        <v>289800</v>
      </c>
      <c r="E14" s="209">
        <v>138000</v>
      </c>
      <c r="F14" s="209">
        <v>220800</v>
      </c>
      <c r="G14" s="209">
        <v>165600</v>
      </c>
      <c r="H14" s="209">
        <v>220800</v>
      </c>
      <c r="I14" s="209">
        <v>382950</v>
      </c>
      <c r="J14" s="209">
        <v>188370</v>
      </c>
      <c r="K14" s="209">
        <v>1840920</v>
      </c>
      <c r="L14" s="220"/>
      <c r="M14" s="221"/>
      <c r="N14" s="221"/>
      <c r="O14" s="221"/>
      <c r="P14" s="221"/>
      <c r="Q14" s="221"/>
    </row>
    <row r="15" spans="1:17" s="54" customFormat="1" ht="33.75" customHeight="1">
      <c r="A15" s="210">
        <v>2</v>
      </c>
      <c r="B15" s="211" t="s">
        <v>602</v>
      </c>
      <c r="C15" s="204">
        <v>0</v>
      </c>
      <c r="D15" s="209">
        <v>0</v>
      </c>
      <c r="E15" s="209">
        <v>3550</v>
      </c>
      <c r="F15" s="209">
        <v>8700</v>
      </c>
      <c r="G15" s="209">
        <v>0</v>
      </c>
      <c r="H15" s="204">
        <v>0</v>
      </c>
      <c r="I15" s="204">
        <v>5030</v>
      </c>
      <c r="J15" s="204">
        <v>6100</v>
      </c>
      <c r="K15" s="204">
        <v>23380</v>
      </c>
      <c r="L15" s="220"/>
      <c r="M15" s="221"/>
      <c r="N15" s="221"/>
      <c r="O15" s="221"/>
      <c r="P15" s="221"/>
      <c r="Q15" s="221"/>
    </row>
    <row r="16" spans="1:17" s="54" customFormat="1" ht="24.75" customHeight="1">
      <c r="A16" s="207">
        <v>3</v>
      </c>
      <c r="B16" s="208" t="s">
        <v>204</v>
      </c>
      <c r="C16" s="204">
        <v>0</v>
      </c>
      <c r="D16" s="204">
        <v>0</v>
      </c>
      <c r="E16" s="204">
        <v>0</v>
      </c>
      <c r="F16" s="204">
        <v>100000</v>
      </c>
      <c r="G16" s="204">
        <v>100000</v>
      </c>
      <c r="H16" s="204">
        <v>0</v>
      </c>
      <c r="I16" s="204">
        <v>100000</v>
      </c>
      <c r="J16" s="204">
        <v>100000</v>
      </c>
      <c r="K16" s="204">
        <v>400000</v>
      </c>
      <c r="L16" s="220"/>
      <c r="M16" s="221"/>
      <c r="N16" s="221"/>
      <c r="O16" s="221"/>
      <c r="P16" s="221"/>
      <c r="Q16" s="221"/>
    </row>
    <row r="17" spans="1:13" s="10" customFormat="1" ht="23.25" customHeight="1">
      <c r="A17" s="210">
        <v>4</v>
      </c>
      <c r="B17" s="211" t="s">
        <v>380</v>
      </c>
      <c r="C17" s="204">
        <v>20000</v>
      </c>
      <c r="D17" s="204">
        <v>15000</v>
      </c>
      <c r="E17" s="204">
        <v>15000</v>
      </c>
      <c r="F17" s="204">
        <v>20000</v>
      </c>
      <c r="G17" s="204">
        <v>20000</v>
      </c>
      <c r="H17" s="204">
        <v>15000</v>
      </c>
      <c r="I17" s="204">
        <v>20000</v>
      </c>
      <c r="J17" s="204">
        <v>20000</v>
      </c>
      <c r="K17" s="204">
        <v>145000</v>
      </c>
      <c r="L17" s="1"/>
      <c r="M17" s="53"/>
    </row>
    <row r="18" spans="1:13" s="10" customFormat="1" ht="50.25" customHeight="1">
      <c r="A18" s="207">
        <v>5</v>
      </c>
      <c r="B18" s="211" t="s">
        <v>307</v>
      </c>
      <c r="C18" s="204">
        <v>10000</v>
      </c>
      <c r="D18" s="204">
        <v>10000</v>
      </c>
      <c r="E18" s="204">
        <v>10000</v>
      </c>
      <c r="F18" s="204">
        <v>10000</v>
      </c>
      <c r="G18" s="204">
        <v>10000</v>
      </c>
      <c r="H18" s="204">
        <v>10000</v>
      </c>
      <c r="I18" s="204">
        <v>10000</v>
      </c>
      <c r="J18" s="204">
        <v>10000</v>
      </c>
      <c r="K18" s="204">
        <v>80000</v>
      </c>
      <c r="L18" s="1"/>
      <c r="M18" s="53"/>
    </row>
    <row r="19" spans="1:13" s="10" customFormat="1" ht="33.75" customHeight="1">
      <c r="A19" s="210">
        <v>6</v>
      </c>
      <c r="B19" s="211" t="s">
        <v>603</v>
      </c>
      <c r="C19" s="204">
        <v>0</v>
      </c>
      <c r="D19" s="204">
        <v>0</v>
      </c>
      <c r="E19" s="204">
        <v>0</v>
      </c>
      <c r="F19" s="204">
        <v>87000</v>
      </c>
      <c r="G19" s="204">
        <v>74000</v>
      </c>
      <c r="H19" s="204">
        <v>0</v>
      </c>
      <c r="I19" s="204">
        <v>36000</v>
      </c>
      <c r="J19" s="204">
        <v>28000</v>
      </c>
      <c r="K19" s="204">
        <v>225000</v>
      </c>
      <c r="L19" s="1"/>
      <c r="M19" s="53"/>
    </row>
    <row r="20" spans="1:13" s="10" customFormat="1" ht="23.25" customHeight="1">
      <c r="A20" s="207">
        <v>7</v>
      </c>
      <c r="B20" s="208" t="s">
        <v>205</v>
      </c>
      <c r="C20" s="204">
        <v>35328</v>
      </c>
      <c r="D20" s="204">
        <v>23736</v>
      </c>
      <c r="E20" s="204">
        <v>24564</v>
      </c>
      <c r="F20" s="204">
        <v>35328</v>
      </c>
      <c r="G20" s="204">
        <v>19596</v>
      </c>
      <c r="H20" s="204">
        <v>25392</v>
      </c>
      <c r="I20" s="204">
        <v>28428</v>
      </c>
      <c r="J20" s="204">
        <v>35328</v>
      </c>
      <c r="K20" s="204">
        <v>227700</v>
      </c>
      <c r="L20" s="1"/>
      <c r="M20" s="53"/>
    </row>
    <row r="21" spans="1:13" s="10" customFormat="1" ht="19.5" customHeight="1">
      <c r="A21" s="210">
        <v>8</v>
      </c>
      <c r="B21" s="208" t="s">
        <v>121</v>
      </c>
      <c r="C21" s="204">
        <v>70000</v>
      </c>
      <c r="D21" s="204">
        <v>86000</v>
      </c>
      <c r="E21" s="204">
        <v>60000</v>
      </c>
      <c r="F21" s="204">
        <v>79000</v>
      </c>
      <c r="G21" s="204">
        <v>68000</v>
      </c>
      <c r="H21" s="204">
        <v>76000</v>
      </c>
      <c r="I21" s="204">
        <v>95000</v>
      </c>
      <c r="J21" s="204">
        <v>74000</v>
      </c>
      <c r="K21" s="204">
        <v>608000</v>
      </c>
      <c r="L21" s="1"/>
      <c r="M21" s="53"/>
    </row>
    <row r="22" spans="1:13" s="10" customFormat="1" ht="19.5" customHeight="1">
      <c r="A22" s="207">
        <v>9</v>
      </c>
      <c r="B22" s="208" t="s">
        <v>122</v>
      </c>
      <c r="C22" s="204">
        <v>10000</v>
      </c>
      <c r="D22" s="204">
        <v>10000</v>
      </c>
      <c r="E22" s="204">
        <v>10000</v>
      </c>
      <c r="F22" s="204">
        <v>10000</v>
      </c>
      <c r="G22" s="204">
        <v>10000</v>
      </c>
      <c r="H22" s="204">
        <v>10000</v>
      </c>
      <c r="I22" s="204">
        <v>10000</v>
      </c>
      <c r="J22" s="204">
        <v>10000</v>
      </c>
      <c r="K22" s="204">
        <v>80000</v>
      </c>
      <c r="L22" s="1"/>
      <c r="M22" s="53"/>
    </row>
    <row r="23" spans="1:11" s="10" customFormat="1" ht="19.5" customHeight="1">
      <c r="A23" s="199" t="s">
        <v>44</v>
      </c>
      <c r="B23" s="206" t="s">
        <v>206</v>
      </c>
      <c r="C23" s="201">
        <v>117300</v>
      </c>
      <c r="D23" s="201">
        <v>132480</v>
      </c>
      <c r="E23" s="201">
        <v>69000</v>
      </c>
      <c r="F23" s="201">
        <v>110400</v>
      </c>
      <c r="G23" s="201">
        <v>82800</v>
      </c>
      <c r="H23" s="201">
        <v>110400</v>
      </c>
      <c r="I23" s="201">
        <v>37260</v>
      </c>
      <c r="J23" s="201">
        <v>96600</v>
      </c>
      <c r="K23" s="201">
        <v>756240</v>
      </c>
    </row>
    <row r="24" spans="1:11" s="11" customFormat="1" ht="19.5" customHeight="1">
      <c r="A24" s="207">
        <v>1</v>
      </c>
      <c r="B24" s="208" t="s">
        <v>207</v>
      </c>
      <c r="C24" s="204">
        <v>117300</v>
      </c>
      <c r="D24" s="204">
        <v>132480</v>
      </c>
      <c r="E24" s="204">
        <v>69000</v>
      </c>
      <c r="F24" s="204">
        <v>110400</v>
      </c>
      <c r="G24" s="204">
        <v>82800</v>
      </c>
      <c r="H24" s="204">
        <v>110400</v>
      </c>
      <c r="I24" s="204">
        <v>37260</v>
      </c>
      <c r="J24" s="204">
        <v>96600</v>
      </c>
      <c r="K24" s="204">
        <v>756240</v>
      </c>
    </row>
    <row r="25" spans="1:11" s="10" customFormat="1" ht="19.5" customHeight="1">
      <c r="A25" s="210" t="s">
        <v>11</v>
      </c>
      <c r="B25" s="208" t="s">
        <v>601</v>
      </c>
      <c r="C25" s="209">
        <v>117300</v>
      </c>
      <c r="D25" s="209">
        <v>132480</v>
      </c>
      <c r="E25" s="209">
        <v>69000</v>
      </c>
      <c r="F25" s="209">
        <v>110400</v>
      </c>
      <c r="G25" s="209">
        <v>82800</v>
      </c>
      <c r="H25" s="209">
        <v>110400</v>
      </c>
      <c r="I25" s="209">
        <v>37260</v>
      </c>
      <c r="J25" s="209">
        <v>96600</v>
      </c>
      <c r="K25" s="209">
        <v>756240</v>
      </c>
    </row>
    <row r="26" spans="1:11" s="10" customFormat="1" ht="19.5" customHeight="1">
      <c r="A26" s="207">
        <v>2</v>
      </c>
      <c r="B26" s="208" t="s">
        <v>208</v>
      </c>
      <c r="C26" s="204">
        <v>0</v>
      </c>
      <c r="D26" s="204">
        <v>0</v>
      </c>
      <c r="E26" s="204">
        <v>0</v>
      </c>
      <c r="F26" s="204">
        <v>0</v>
      </c>
      <c r="G26" s="204">
        <v>0</v>
      </c>
      <c r="H26" s="204">
        <v>0</v>
      </c>
      <c r="I26" s="204">
        <v>0</v>
      </c>
      <c r="J26" s="204">
        <v>0</v>
      </c>
      <c r="K26" s="204">
        <v>0</v>
      </c>
    </row>
    <row r="27" spans="1:11" s="10" customFormat="1" ht="30" customHeight="1">
      <c r="A27" s="207">
        <v>3</v>
      </c>
      <c r="B27" s="211" t="s">
        <v>604</v>
      </c>
      <c r="C27" s="204">
        <v>0</v>
      </c>
      <c r="D27" s="204">
        <v>0</v>
      </c>
      <c r="E27" s="204">
        <v>0</v>
      </c>
      <c r="F27" s="204">
        <v>0</v>
      </c>
      <c r="G27" s="204">
        <v>0</v>
      </c>
      <c r="H27" s="204">
        <v>0</v>
      </c>
      <c r="I27" s="204">
        <v>0</v>
      </c>
      <c r="J27" s="204">
        <v>0</v>
      </c>
      <c r="K27" s="204">
        <v>0</v>
      </c>
    </row>
    <row r="28" spans="1:11" s="10" customFormat="1" ht="21.75" customHeight="1">
      <c r="A28" s="199" t="s">
        <v>46</v>
      </c>
      <c r="B28" s="206" t="s">
        <v>209</v>
      </c>
      <c r="C28" s="201">
        <v>130900</v>
      </c>
      <c r="D28" s="201">
        <v>115500</v>
      </c>
      <c r="E28" s="201">
        <v>77000</v>
      </c>
      <c r="F28" s="201">
        <v>115200</v>
      </c>
      <c r="G28" s="201">
        <v>82400</v>
      </c>
      <c r="H28" s="201">
        <v>123200</v>
      </c>
      <c r="I28" s="201">
        <v>199900</v>
      </c>
      <c r="J28" s="201">
        <v>101800</v>
      </c>
      <c r="K28" s="201">
        <v>945900</v>
      </c>
    </row>
    <row r="29" spans="1:11" s="11" customFormat="1" ht="31.5" customHeight="1">
      <c r="A29" s="212">
        <v>1</v>
      </c>
      <c r="B29" s="211" t="s">
        <v>210</v>
      </c>
      <c r="C29" s="204">
        <v>51000</v>
      </c>
      <c r="D29" s="204">
        <v>45000</v>
      </c>
      <c r="E29" s="204">
        <v>30000</v>
      </c>
      <c r="F29" s="204">
        <v>48000</v>
      </c>
      <c r="G29" s="204">
        <v>36000</v>
      </c>
      <c r="H29" s="204">
        <v>48000</v>
      </c>
      <c r="I29" s="204">
        <v>81000</v>
      </c>
      <c r="J29" s="204">
        <v>42000</v>
      </c>
      <c r="K29" s="204">
        <v>381000</v>
      </c>
    </row>
    <row r="30" spans="1:11" s="10" customFormat="1" ht="22.5" customHeight="1">
      <c r="A30" s="213">
        <v>2</v>
      </c>
      <c r="B30" s="214" t="s">
        <v>211</v>
      </c>
      <c r="C30" s="204">
        <v>0</v>
      </c>
      <c r="D30" s="204">
        <v>0</v>
      </c>
      <c r="E30" s="204">
        <v>0</v>
      </c>
      <c r="F30" s="204">
        <v>0</v>
      </c>
      <c r="G30" s="204">
        <v>0</v>
      </c>
      <c r="H30" s="204">
        <v>0</v>
      </c>
      <c r="I30" s="204">
        <v>0</v>
      </c>
      <c r="J30" s="204">
        <v>0</v>
      </c>
      <c r="K30" s="204">
        <v>0</v>
      </c>
    </row>
    <row r="31" spans="1:11" s="10" customFormat="1" ht="24" customHeight="1">
      <c r="A31" s="210" t="s">
        <v>11</v>
      </c>
      <c r="B31" s="208" t="s">
        <v>605</v>
      </c>
      <c r="C31" s="209">
        <v>34000</v>
      </c>
      <c r="D31" s="204">
        <v>30000</v>
      </c>
      <c r="E31" s="209">
        <v>20000</v>
      </c>
      <c r="F31" s="209">
        <v>24000</v>
      </c>
      <c r="G31" s="209">
        <v>14000</v>
      </c>
      <c r="H31" s="209">
        <v>32000</v>
      </c>
      <c r="I31" s="209">
        <v>46000</v>
      </c>
      <c r="J31" s="209">
        <v>22000</v>
      </c>
      <c r="K31" s="209">
        <v>222000</v>
      </c>
    </row>
    <row r="32" spans="1:11" s="10" customFormat="1" ht="30" customHeight="1">
      <c r="A32" s="213">
        <v>3</v>
      </c>
      <c r="B32" s="214" t="s">
        <v>606</v>
      </c>
      <c r="C32" s="204">
        <v>45900</v>
      </c>
      <c r="D32" s="204">
        <v>40500</v>
      </c>
      <c r="E32" s="204">
        <v>27000</v>
      </c>
      <c r="F32" s="204">
        <v>43200</v>
      </c>
      <c r="G32" s="204">
        <v>32400</v>
      </c>
      <c r="H32" s="204">
        <v>43200</v>
      </c>
      <c r="I32" s="204">
        <v>72900</v>
      </c>
      <c r="J32" s="204">
        <v>37800</v>
      </c>
      <c r="K32" s="204">
        <v>342900</v>
      </c>
    </row>
    <row r="33" spans="1:11" s="10" customFormat="1" ht="22.5" customHeight="1">
      <c r="A33" s="199" t="s">
        <v>53</v>
      </c>
      <c r="B33" s="206" t="s">
        <v>212</v>
      </c>
      <c r="C33" s="216">
        <v>4535972.42</v>
      </c>
      <c r="D33" s="216">
        <v>4117783.966</v>
      </c>
      <c r="E33" s="216">
        <v>3911885.57</v>
      </c>
      <c r="F33" s="216">
        <v>5022322.32</v>
      </c>
      <c r="G33" s="216">
        <v>5277653.96</v>
      </c>
      <c r="H33" s="216">
        <v>5531307.659999999</v>
      </c>
      <c r="I33" s="216">
        <v>5063732.06</v>
      </c>
      <c r="J33" s="216">
        <v>4704802.36</v>
      </c>
      <c r="K33" s="216">
        <v>38593000</v>
      </c>
    </row>
    <row r="34" spans="1:11" s="94" customFormat="1" ht="19.5" customHeight="1">
      <c r="A34" s="210">
        <v>1</v>
      </c>
      <c r="B34" s="214" t="s">
        <v>213</v>
      </c>
      <c r="C34" s="204">
        <v>2236774.42</v>
      </c>
      <c r="D34" s="204">
        <v>2253281.966</v>
      </c>
      <c r="E34" s="204">
        <v>2161188.57</v>
      </c>
      <c r="F34" s="204">
        <v>2805441.52</v>
      </c>
      <c r="G34" s="204">
        <v>2706674.76</v>
      </c>
      <c r="H34" s="204">
        <v>2856159.66</v>
      </c>
      <c r="I34" s="204">
        <v>2382545.46</v>
      </c>
      <c r="J34" s="204">
        <v>2542370.36</v>
      </c>
      <c r="K34" s="204">
        <v>19944436.716</v>
      </c>
    </row>
    <row r="35" spans="1:11" s="10" customFormat="1" ht="19.5" customHeight="1">
      <c r="A35" s="210">
        <v>2</v>
      </c>
      <c r="B35" s="208" t="s">
        <v>214</v>
      </c>
      <c r="C35" s="204">
        <v>295872</v>
      </c>
      <c r="D35" s="204">
        <v>280968</v>
      </c>
      <c r="E35" s="204">
        <v>276414</v>
      </c>
      <c r="F35" s="204">
        <v>276220.8</v>
      </c>
      <c r="G35" s="204">
        <v>290545.2</v>
      </c>
      <c r="H35" s="204">
        <v>280968</v>
      </c>
      <c r="I35" s="204">
        <v>131934.6</v>
      </c>
      <c r="J35" s="204">
        <v>293664</v>
      </c>
      <c r="K35" s="204">
        <v>2126586.6</v>
      </c>
    </row>
    <row r="36" spans="1:11" s="10" customFormat="1" ht="19.5" customHeight="1">
      <c r="A36" s="210">
        <v>3</v>
      </c>
      <c r="B36" s="208" t="s">
        <v>215</v>
      </c>
      <c r="C36" s="204">
        <v>949302</v>
      </c>
      <c r="D36" s="204">
        <v>649980</v>
      </c>
      <c r="E36" s="204">
        <v>574080</v>
      </c>
      <c r="F36" s="204">
        <v>861120</v>
      </c>
      <c r="G36" s="204">
        <v>711252</v>
      </c>
      <c r="H36" s="204">
        <v>948336</v>
      </c>
      <c r="I36" s="204">
        <v>1469562</v>
      </c>
      <c r="J36" s="204">
        <v>812544</v>
      </c>
      <c r="K36" s="204">
        <v>6976176</v>
      </c>
    </row>
    <row r="37" spans="1:11" s="10" customFormat="1" ht="19.5" customHeight="1">
      <c r="A37" s="210" t="s">
        <v>11</v>
      </c>
      <c r="B37" s="208" t="s">
        <v>601</v>
      </c>
      <c r="C37" s="209">
        <v>949302</v>
      </c>
      <c r="D37" s="209">
        <v>649980</v>
      </c>
      <c r="E37" s="209">
        <v>574080</v>
      </c>
      <c r="F37" s="209">
        <v>861120</v>
      </c>
      <c r="G37" s="209">
        <v>711252</v>
      </c>
      <c r="H37" s="209">
        <v>948336</v>
      </c>
      <c r="I37" s="209">
        <v>1469562</v>
      </c>
      <c r="J37" s="209">
        <v>812544</v>
      </c>
      <c r="K37" s="209">
        <v>6976176</v>
      </c>
    </row>
    <row r="38" spans="1:11" s="10" customFormat="1" ht="19.5" customHeight="1" hidden="1">
      <c r="A38" s="210">
        <v>4</v>
      </c>
      <c r="B38" s="208" t="s">
        <v>216</v>
      </c>
      <c r="C38" s="204">
        <v>129444</v>
      </c>
      <c r="D38" s="204">
        <v>105294</v>
      </c>
      <c r="E38" s="204">
        <v>119163</v>
      </c>
      <c r="F38" s="204">
        <v>122820</v>
      </c>
      <c r="G38" s="204">
        <v>118542</v>
      </c>
      <c r="H38" s="204">
        <v>134964</v>
      </c>
      <c r="I38" s="204">
        <v>129030</v>
      </c>
      <c r="J38" s="204">
        <v>111504</v>
      </c>
      <c r="K38" s="204">
        <v>970761</v>
      </c>
    </row>
    <row r="39" spans="1:11" s="10" customFormat="1" ht="19.5" customHeight="1">
      <c r="A39" s="210">
        <v>5</v>
      </c>
      <c r="B39" s="214" t="s">
        <v>279</v>
      </c>
      <c r="C39" s="217">
        <v>30000</v>
      </c>
      <c r="D39" s="217">
        <v>30000</v>
      </c>
      <c r="E39" s="217">
        <v>50000</v>
      </c>
      <c r="F39" s="217">
        <v>30000</v>
      </c>
      <c r="G39" s="217">
        <v>50000</v>
      </c>
      <c r="H39" s="217">
        <v>50000</v>
      </c>
      <c r="I39" s="217">
        <v>30000</v>
      </c>
      <c r="J39" s="217">
        <v>30000</v>
      </c>
      <c r="K39" s="204">
        <v>300000</v>
      </c>
    </row>
    <row r="40" spans="1:11" s="10" customFormat="1" ht="19.5" customHeight="1">
      <c r="A40" s="210">
        <v>6</v>
      </c>
      <c r="B40" s="214" t="s">
        <v>217</v>
      </c>
      <c r="C40" s="204">
        <v>10000</v>
      </c>
      <c r="D40" s="204">
        <v>10000</v>
      </c>
      <c r="E40" s="204">
        <v>10000</v>
      </c>
      <c r="F40" s="204">
        <v>10000</v>
      </c>
      <c r="G40" s="204">
        <v>610000</v>
      </c>
      <c r="H40" s="204">
        <v>310000</v>
      </c>
      <c r="I40" s="204">
        <v>10000</v>
      </c>
      <c r="J40" s="204">
        <v>10000</v>
      </c>
      <c r="K40" s="204">
        <v>980000</v>
      </c>
    </row>
    <row r="41" spans="1:11" s="10" customFormat="1" ht="19.5" customHeight="1">
      <c r="A41" s="210">
        <v>7</v>
      </c>
      <c r="B41" s="208" t="s">
        <v>218</v>
      </c>
      <c r="C41" s="204">
        <v>2000</v>
      </c>
      <c r="D41" s="204">
        <v>2000</v>
      </c>
      <c r="E41" s="204">
        <v>2000</v>
      </c>
      <c r="F41" s="204">
        <v>2000</v>
      </c>
      <c r="G41" s="204">
        <v>2000</v>
      </c>
      <c r="H41" s="204">
        <v>2000</v>
      </c>
      <c r="I41" s="204">
        <v>2000</v>
      </c>
      <c r="J41" s="204">
        <v>2000</v>
      </c>
      <c r="K41" s="204">
        <v>16000</v>
      </c>
    </row>
    <row r="42" spans="1:11" s="10" customFormat="1" ht="19.5" customHeight="1">
      <c r="A42" s="210">
        <v>8</v>
      </c>
      <c r="B42" s="208" t="s">
        <v>219</v>
      </c>
      <c r="C42" s="204">
        <v>7500</v>
      </c>
      <c r="D42" s="204">
        <v>7500</v>
      </c>
      <c r="E42" s="204">
        <v>7500</v>
      </c>
      <c r="F42" s="204">
        <v>7500</v>
      </c>
      <c r="G42" s="204">
        <v>7500</v>
      </c>
      <c r="H42" s="204">
        <v>7500</v>
      </c>
      <c r="I42" s="204">
        <v>7500</v>
      </c>
      <c r="J42" s="204">
        <v>7500</v>
      </c>
      <c r="K42" s="204">
        <v>60000</v>
      </c>
    </row>
    <row r="43" spans="1:11" s="10" customFormat="1" ht="30.75" customHeight="1">
      <c r="A43" s="210">
        <v>9</v>
      </c>
      <c r="B43" s="214" t="s">
        <v>607</v>
      </c>
      <c r="C43" s="204">
        <v>290000</v>
      </c>
      <c r="D43" s="204">
        <v>260000</v>
      </c>
      <c r="E43" s="204">
        <v>170000</v>
      </c>
      <c r="F43" s="204">
        <v>270000</v>
      </c>
      <c r="G43" s="204">
        <v>190000</v>
      </c>
      <c r="H43" s="204">
        <v>280000</v>
      </c>
      <c r="I43" s="204">
        <v>230000</v>
      </c>
      <c r="J43" s="204">
        <v>280000</v>
      </c>
      <c r="K43" s="204">
        <v>1970000</v>
      </c>
    </row>
    <row r="44" spans="1:11" s="10" customFormat="1" ht="33.75" customHeight="1">
      <c r="A44" s="210">
        <v>10</v>
      </c>
      <c r="B44" s="214" t="s">
        <v>608</v>
      </c>
      <c r="C44" s="204">
        <v>62100</v>
      </c>
      <c r="D44" s="204">
        <v>57960</v>
      </c>
      <c r="E44" s="204">
        <v>53820</v>
      </c>
      <c r="F44" s="204">
        <v>53820</v>
      </c>
      <c r="G44" s="204">
        <v>53820</v>
      </c>
      <c r="H44" s="204">
        <v>62100</v>
      </c>
      <c r="I44" s="204">
        <v>53820</v>
      </c>
      <c r="J44" s="204">
        <v>53820</v>
      </c>
      <c r="K44" s="204">
        <v>451260</v>
      </c>
    </row>
    <row r="45" spans="1:11" s="10" customFormat="1" ht="23.25" customHeight="1">
      <c r="A45" s="210">
        <v>11</v>
      </c>
      <c r="B45" s="211" t="s">
        <v>220</v>
      </c>
      <c r="C45" s="204">
        <v>12500</v>
      </c>
      <c r="D45" s="204">
        <v>12500</v>
      </c>
      <c r="E45" s="204">
        <v>12500</v>
      </c>
      <c r="F45" s="204">
        <v>12500</v>
      </c>
      <c r="G45" s="204">
        <v>12500</v>
      </c>
      <c r="H45" s="204">
        <v>12500</v>
      </c>
      <c r="I45" s="204">
        <v>12500</v>
      </c>
      <c r="J45" s="204">
        <v>12500</v>
      </c>
      <c r="K45" s="204">
        <v>100000</v>
      </c>
    </row>
    <row r="46" spans="1:11" s="10" customFormat="1" ht="21.75" customHeight="1">
      <c r="A46" s="210">
        <v>12</v>
      </c>
      <c r="B46" s="208" t="s">
        <v>221</v>
      </c>
      <c r="C46" s="204">
        <v>49680</v>
      </c>
      <c r="D46" s="204">
        <v>0</v>
      </c>
      <c r="E46" s="204">
        <v>46920</v>
      </c>
      <c r="F46" s="204">
        <v>96600</v>
      </c>
      <c r="G46" s="204">
        <v>74520</v>
      </c>
      <c r="H46" s="204">
        <v>132480</v>
      </c>
      <c r="I46" s="204">
        <v>114540</v>
      </c>
      <c r="J46" s="204">
        <v>96600</v>
      </c>
      <c r="K46" s="204">
        <v>611340</v>
      </c>
    </row>
    <row r="47" spans="1:11" s="10" customFormat="1" ht="32.25" customHeight="1">
      <c r="A47" s="210">
        <v>13</v>
      </c>
      <c r="B47" s="214" t="s">
        <v>609</v>
      </c>
      <c r="C47" s="204">
        <v>112000</v>
      </c>
      <c r="D47" s="204">
        <v>100000</v>
      </c>
      <c r="E47" s="204">
        <v>70000</v>
      </c>
      <c r="F47" s="204">
        <v>106000</v>
      </c>
      <c r="G47" s="204">
        <v>82000</v>
      </c>
      <c r="H47" s="204">
        <v>106000</v>
      </c>
      <c r="I47" s="204">
        <v>141500</v>
      </c>
      <c r="J47" s="204">
        <v>94000</v>
      </c>
      <c r="K47" s="204">
        <v>811500</v>
      </c>
    </row>
    <row r="48" spans="1:11" s="10" customFormat="1" ht="34.5" customHeight="1">
      <c r="A48" s="210">
        <v>14</v>
      </c>
      <c r="B48" s="211" t="s">
        <v>407</v>
      </c>
      <c r="C48" s="204">
        <v>8000</v>
      </c>
      <c r="D48" s="204">
        <v>8000</v>
      </c>
      <c r="E48" s="204">
        <v>8000</v>
      </c>
      <c r="F48" s="204">
        <v>8000</v>
      </c>
      <c r="G48" s="204">
        <v>8000</v>
      </c>
      <c r="H48" s="204">
        <v>8000</v>
      </c>
      <c r="I48" s="204">
        <v>8000</v>
      </c>
      <c r="J48" s="204">
        <v>8000</v>
      </c>
      <c r="K48" s="204">
        <v>64000</v>
      </c>
    </row>
    <row r="49" spans="1:11" s="10" customFormat="1" ht="23.25" customHeight="1">
      <c r="A49" s="210">
        <v>15</v>
      </c>
      <c r="B49" s="211" t="s">
        <v>222</v>
      </c>
      <c r="C49" s="204">
        <v>6000</v>
      </c>
      <c r="D49" s="204">
        <v>6000</v>
      </c>
      <c r="E49" s="204">
        <v>6000</v>
      </c>
      <c r="F49" s="204">
        <v>6000</v>
      </c>
      <c r="G49" s="204">
        <v>6000</v>
      </c>
      <c r="H49" s="204">
        <v>6000</v>
      </c>
      <c r="I49" s="204">
        <v>6000</v>
      </c>
      <c r="J49" s="204">
        <v>6000</v>
      </c>
      <c r="K49" s="204">
        <v>48000</v>
      </c>
    </row>
    <row r="50" spans="1:11" s="10" customFormat="1" ht="32.25" customHeight="1">
      <c r="A50" s="210">
        <v>16</v>
      </c>
      <c r="B50" s="214" t="s">
        <v>410</v>
      </c>
      <c r="C50" s="204">
        <v>13500</v>
      </c>
      <c r="D50" s="204">
        <v>13000</v>
      </c>
      <c r="E50" s="204">
        <v>13000</v>
      </c>
      <c r="F50" s="204">
        <v>13000</v>
      </c>
      <c r="G50" s="204">
        <v>13000</v>
      </c>
      <c r="H50" s="204">
        <v>13000</v>
      </c>
      <c r="I50" s="204">
        <v>13500</v>
      </c>
      <c r="J50" s="204">
        <v>13000</v>
      </c>
      <c r="K50" s="204">
        <v>105000</v>
      </c>
    </row>
    <row r="51" spans="1:11" s="10" customFormat="1" ht="65.25" customHeight="1">
      <c r="A51" s="210">
        <v>17</v>
      </c>
      <c r="B51" s="214" t="s">
        <v>610</v>
      </c>
      <c r="C51" s="204">
        <v>287500</v>
      </c>
      <c r="D51" s="204">
        <v>287500</v>
      </c>
      <c r="E51" s="204">
        <v>297500</v>
      </c>
      <c r="F51" s="204">
        <v>297500</v>
      </c>
      <c r="G51" s="204">
        <v>297500</v>
      </c>
      <c r="H51" s="204">
        <v>287500</v>
      </c>
      <c r="I51" s="204">
        <v>287500</v>
      </c>
      <c r="J51" s="204">
        <v>287500</v>
      </c>
      <c r="K51" s="204">
        <v>2330000</v>
      </c>
    </row>
    <row r="52" spans="1:11" s="10" customFormat="1" ht="19.5" customHeight="1">
      <c r="A52" s="210">
        <v>18</v>
      </c>
      <c r="B52" s="214" t="s">
        <v>408</v>
      </c>
      <c r="C52" s="204">
        <v>13800</v>
      </c>
      <c r="D52" s="204">
        <v>13800</v>
      </c>
      <c r="E52" s="204">
        <v>13800</v>
      </c>
      <c r="F52" s="204">
        <v>13800</v>
      </c>
      <c r="G52" s="204">
        <v>13800</v>
      </c>
      <c r="H52" s="204">
        <v>13800</v>
      </c>
      <c r="I52" s="204">
        <v>13800</v>
      </c>
      <c r="J52" s="204">
        <v>13800</v>
      </c>
      <c r="K52" s="204">
        <v>110400</v>
      </c>
    </row>
    <row r="53" spans="1:11" s="10" customFormat="1" ht="22.5" customHeight="1">
      <c r="A53" s="210">
        <v>19</v>
      </c>
      <c r="B53" s="214" t="s">
        <v>223</v>
      </c>
      <c r="C53" s="204">
        <v>20000</v>
      </c>
      <c r="D53" s="204">
        <v>20000</v>
      </c>
      <c r="E53" s="204">
        <v>20000</v>
      </c>
      <c r="F53" s="204">
        <v>30000</v>
      </c>
      <c r="G53" s="204">
        <v>30000</v>
      </c>
      <c r="H53" s="204">
        <v>20000</v>
      </c>
      <c r="I53" s="204">
        <v>20000</v>
      </c>
      <c r="J53" s="204">
        <v>30000</v>
      </c>
      <c r="K53" s="204">
        <v>190000</v>
      </c>
    </row>
    <row r="54" spans="1:11" s="10" customFormat="1" ht="22.5" customHeight="1">
      <c r="A54" s="210">
        <v>20</v>
      </c>
      <c r="B54" s="214" t="s">
        <v>277</v>
      </c>
      <c r="C54" s="204"/>
      <c r="D54" s="204"/>
      <c r="E54" s="204"/>
      <c r="F54" s="204"/>
      <c r="G54" s="204"/>
      <c r="H54" s="204"/>
      <c r="I54" s="204"/>
      <c r="J54" s="204"/>
      <c r="K54" s="217">
        <v>427539.68400000036</v>
      </c>
    </row>
    <row r="55" spans="1:11" s="10" customFormat="1" ht="22.5" customHeight="1">
      <c r="A55" s="218" t="s">
        <v>55</v>
      </c>
      <c r="B55" s="219" t="s">
        <v>19</v>
      </c>
      <c r="C55" s="201">
        <v>110000</v>
      </c>
      <c r="D55" s="201">
        <v>115000</v>
      </c>
      <c r="E55" s="201">
        <v>115000</v>
      </c>
      <c r="F55" s="201">
        <v>121000</v>
      </c>
      <c r="G55" s="201">
        <v>121000</v>
      </c>
      <c r="H55" s="201">
        <v>115000</v>
      </c>
      <c r="I55" s="201">
        <v>115000</v>
      </c>
      <c r="J55" s="201">
        <v>115000</v>
      </c>
      <c r="K55" s="201">
        <v>927000</v>
      </c>
    </row>
    <row r="56" spans="1:11" s="11" customFormat="1" ht="22.5" customHeight="1">
      <c r="A56" s="312" t="s">
        <v>611</v>
      </c>
      <c r="B56" s="312"/>
      <c r="C56" s="312"/>
      <c r="D56" s="312"/>
      <c r="E56" s="312"/>
      <c r="F56" s="312"/>
      <c r="G56" s="312"/>
      <c r="H56" s="312"/>
      <c r="I56" s="312"/>
      <c r="J56" s="312"/>
      <c r="K56" s="312"/>
    </row>
    <row r="57" spans="1:11" s="4" customFormat="1" ht="48.75" customHeight="1">
      <c r="A57" s="311" t="s">
        <v>612</v>
      </c>
      <c r="B57" s="311"/>
      <c r="C57" s="311"/>
      <c r="D57" s="311"/>
      <c r="E57" s="311"/>
      <c r="F57" s="311"/>
      <c r="G57" s="311"/>
      <c r="H57" s="311"/>
      <c r="I57" s="311"/>
      <c r="J57" s="311"/>
      <c r="K57" s="311"/>
    </row>
    <row r="58" spans="1:11" s="83" customFormat="1" ht="33" customHeight="1">
      <c r="A58" s="311" t="s">
        <v>613</v>
      </c>
      <c r="B58" s="311"/>
      <c r="C58" s="311"/>
      <c r="D58" s="311"/>
      <c r="E58" s="311"/>
      <c r="F58" s="311"/>
      <c r="G58" s="311"/>
      <c r="H58" s="311"/>
      <c r="I58" s="311"/>
      <c r="J58" s="311"/>
      <c r="K58" s="311"/>
    </row>
    <row r="59" spans="1:11" s="84" customFormat="1" ht="21.75" customHeight="1">
      <c r="A59" s="311" t="s">
        <v>355</v>
      </c>
      <c r="B59" s="311"/>
      <c r="C59" s="311"/>
      <c r="D59" s="311"/>
      <c r="E59" s="311"/>
      <c r="F59" s="311"/>
      <c r="G59" s="311"/>
      <c r="H59" s="311"/>
      <c r="I59" s="311"/>
      <c r="J59" s="311"/>
      <c r="K59" s="311"/>
    </row>
    <row r="60" spans="1:11" s="84" customFormat="1" ht="24" customHeight="1">
      <c r="A60" s="311" t="s">
        <v>614</v>
      </c>
      <c r="B60" s="311"/>
      <c r="C60" s="311"/>
      <c r="D60" s="311"/>
      <c r="E60" s="311"/>
      <c r="F60" s="311"/>
      <c r="G60" s="311"/>
      <c r="H60" s="311"/>
      <c r="I60" s="311"/>
      <c r="J60" s="311"/>
      <c r="K60" s="311"/>
    </row>
    <row r="61" spans="1:11" s="84" customFormat="1" ht="24" customHeight="1">
      <c r="A61" s="311" t="s">
        <v>615</v>
      </c>
      <c r="B61" s="311"/>
      <c r="C61" s="311"/>
      <c r="D61" s="311"/>
      <c r="E61" s="311"/>
      <c r="F61" s="311"/>
      <c r="G61" s="311"/>
      <c r="H61" s="311"/>
      <c r="I61" s="311"/>
      <c r="J61" s="311"/>
      <c r="K61" s="311"/>
    </row>
    <row r="62" spans="1:11" s="84" customFormat="1" ht="33" customHeight="1">
      <c r="A62" s="311" t="s">
        <v>616</v>
      </c>
      <c r="B62" s="311"/>
      <c r="C62" s="311"/>
      <c r="D62" s="311"/>
      <c r="E62" s="311"/>
      <c r="F62" s="311"/>
      <c r="G62" s="311"/>
      <c r="H62" s="311"/>
      <c r="I62" s="311"/>
      <c r="J62" s="311"/>
      <c r="K62" s="311"/>
    </row>
    <row r="63" ht="19.5" customHeight="1">
      <c r="L63" s="5"/>
    </row>
  </sheetData>
  <sheetProtection/>
  <mergeCells count="11">
    <mergeCell ref="A1:K1"/>
    <mergeCell ref="A2:K2"/>
    <mergeCell ref="A3:M3"/>
    <mergeCell ref="A62:K62"/>
    <mergeCell ref="J4:K4"/>
    <mergeCell ref="A56:K56"/>
    <mergeCell ref="A57:K57"/>
    <mergeCell ref="A58:K58"/>
    <mergeCell ref="A59:K59"/>
    <mergeCell ref="A60:K60"/>
    <mergeCell ref="A61:K61"/>
  </mergeCells>
  <printOptions/>
  <pageMargins left="0.65" right="0.34" top="0.31" bottom="0.27" header="0.38" footer="0.17"/>
  <pageSetup horizontalDpi="600" verticalDpi="600" orientation="landscape" paperSize="9" r:id="rId1"/>
  <headerFooter alignWithMargins="0">
    <oddFooter>&amp;CPage &amp;P</oddFooter>
  </headerFooter>
</worksheet>
</file>

<file path=xl/worksheets/sheet8.xml><?xml version="1.0" encoding="utf-8"?>
<worksheet xmlns="http://schemas.openxmlformats.org/spreadsheetml/2006/main" xmlns:r="http://schemas.openxmlformats.org/officeDocument/2006/relationships">
  <dimension ref="A1:AL94"/>
  <sheetViews>
    <sheetView zoomScalePageLayoutView="0" workbookViewId="0" topLeftCell="A1">
      <selection activeCell="Z8" sqref="Z8"/>
    </sheetView>
  </sheetViews>
  <sheetFormatPr defaultColWidth="9.00390625" defaultRowHeight="15.75"/>
  <cols>
    <col min="1" max="1" width="4.50390625" style="74" customWidth="1"/>
    <col min="2" max="2" width="31.875" style="75" customWidth="1"/>
    <col min="3" max="3" width="5.25390625" style="76" customWidth="1"/>
    <col min="4" max="4" width="8.875" style="77" customWidth="1"/>
    <col min="5" max="5" width="11.125" style="78" customWidth="1"/>
    <col min="6" max="6" width="5.875" style="78" customWidth="1"/>
    <col min="7" max="7" width="7.50390625" style="79" customWidth="1"/>
    <col min="8" max="8" width="10.125" style="75" customWidth="1"/>
    <col min="9" max="9" width="5.75390625" style="75" customWidth="1"/>
    <col min="10" max="10" width="7.875" style="77" customWidth="1"/>
    <col min="11" max="11" width="9.875" style="75" customWidth="1"/>
    <col min="12" max="12" width="5.75390625" style="75" customWidth="1"/>
    <col min="13" max="13" width="8.25390625" style="77" customWidth="1"/>
    <col min="14" max="14" width="10.875" style="75" customWidth="1"/>
    <col min="15" max="15" width="6.25390625" style="75" customWidth="1"/>
    <col min="16" max="16" width="7.875" style="77" customWidth="1"/>
    <col min="17" max="17" width="10.125" style="75" customWidth="1"/>
    <col min="18" max="18" width="5.75390625" style="75" customWidth="1"/>
    <col min="19" max="19" width="7.50390625" style="77" customWidth="1"/>
    <col min="20" max="20" width="10.625" style="75" customWidth="1"/>
    <col min="21" max="21" width="6.00390625" style="75" customWidth="1"/>
    <col min="22" max="22" width="7.75390625" style="77" customWidth="1"/>
    <col min="23" max="23" width="9.875" style="75" customWidth="1"/>
    <col min="24" max="24" width="5.375" style="80" customWidth="1"/>
    <col min="25" max="25" width="7.375" style="77" customWidth="1"/>
    <col min="26" max="26" width="10.00390625" style="75" customWidth="1"/>
    <col min="27" max="27" width="5.875" style="75" customWidth="1"/>
    <col min="28" max="28" width="7.125" style="81" customWidth="1"/>
    <col min="29" max="29" width="10.00390625" style="75" customWidth="1"/>
    <col min="30" max="16384" width="9.00390625" style="75" customWidth="1"/>
  </cols>
  <sheetData>
    <row r="1" spans="1:29" s="55" customFormat="1" ht="21" customHeight="1">
      <c r="A1" s="314" t="s">
        <v>617</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29" s="55" customFormat="1" ht="18.75">
      <c r="A2" s="314" t="s">
        <v>356</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row>
    <row r="3" spans="1:29" s="55" customFormat="1" ht="15.75" hidden="1">
      <c r="A3" s="315" t="s">
        <v>306</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row>
    <row r="4" spans="1:29" s="5" customFormat="1" ht="19.5" customHeight="1">
      <c r="A4" s="316" t="s">
        <v>419</v>
      </c>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row>
    <row r="5" spans="1:29" s="5" customFormat="1" ht="22.5" customHeight="1" hidden="1">
      <c r="A5" s="315" t="s">
        <v>14</v>
      </c>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row>
    <row r="6" spans="1:29" s="59" customFormat="1" ht="17.25" customHeight="1">
      <c r="A6" s="56"/>
      <c r="B6" s="57"/>
      <c r="C6" s="317"/>
      <c r="D6" s="317"/>
      <c r="E6" s="58"/>
      <c r="G6" s="60"/>
      <c r="H6" s="61"/>
      <c r="J6" s="60"/>
      <c r="K6" s="56"/>
      <c r="L6" s="56"/>
      <c r="M6" s="60"/>
      <c r="N6" s="56"/>
      <c r="O6" s="56"/>
      <c r="P6" s="60"/>
      <c r="Q6" s="56"/>
      <c r="R6" s="56"/>
      <c r="S6" s="60"/>
      <c r="T6" s="56"/>
      <c r="U6" s="56"/>
      <c r="V6" s="60"/>
      <c r="W6" s="56"/>
      <c r="X6" s="62"/>
      <c r="Y6" s="60"/>
      <c r="Z6" s="56"/>
      <c r="AA6" s="313" t="s">
        <v>186</v>
      </c>
      <c r="AB6" s="313"/>
      <c r="AC6" s="313"/>
    </row>
    <row r="7" spans="1:34" s="63" customFormat="1" ht="16.5" customHeight="1">
      <c r="A7" s="318" t="s">
        <v>0</v>
      </c>
      <c r="B7" s="318" t="s">
        <v>224</v>
      </c>
      <c r="C7" s="319" t="s">
        <v>225</v>
      </c>
      <c r="D7" s="320" t="s">
        <v>226</v>
      </c>
      <c r="E7" s="318" t="s">
        <v>227</v>
      </c>
      <c r="F7" s="321" t="s">
        <v>228</v>
      </c>
      <c r="G7" s="321"/>
      <c r="H7" s="321"/>
      <c r="I7" s="321" t="s">
        <v>229</v>
      </c>
      <c r="J7" s="321"/>
      <c r="K7" s="321"/>
      <c r="L7" s="321" t="s">
        <v>230</v>
      </c>
      <c r="M7" s="321"/>
      <c r="N7" s="321"/>
      <c r="O7" s="321" t="s">
        <v>231</v>
      </c>
      <c r="P7" s="321"/>
      <c r="Q7" s="321"/>
      <c r="R7" s="321" t="s">
        <v>232</v>
      </c>
      <c r="S7" s="321"/>
      <c r="T7" s="321"/>
      <c r="U7" s="321" t="s">
        <v>233</v>
      </c>
      <c r="V7" s="321"/>
      <c r="W7" s="321"/>
      <c r="X7" s="321" t="s">
        <v>234</v>
      </c>
      <c r="Y7" s="321"/>
      <c r="Z7" s="321"/>
      <c r="AA7" s="321" t="s">
        <v>197</v>
      </c>
      <c r="AB7" s="321"/>
      <c r="AC7" s="321"/>
      <c r="AH7" s="63" t="s">
        <v>405</v>
      </c>
    </row>
    <row r="8" spans="1:30" s="63" customFormat="1" ht="35.25" customHeight="1">
      <c r="A8" s="318"/>
      <c r="B8" s="318"/>
      <c r="C8" s="319"/>
      <c r="D8" s="320"/>
      <c r="E8" s="318"/>
      <c r="F8" s="222" t="s">
        <v>225</v>
      </c>
      <c r="G8" s="223" t="s">
        <v>226</v>
      </c>
      <c r="H8" s="224" t="s">
        <v>673</v>
      </c>
      <c r="I8" s="225" t="s">
        <v>225</v>
      </c>
      <c r="J8" s="223" t="s">
        <v>226</v>
      </c>
      <c r="K8" s="224" t="s">
        <v>673</v>
      </c>
      <c r="L8" s="225" t="s">
        <v>225</v>
      </c>
      <c r="M8" s="223" t="s">
        <v>226</v>
      </c>
      <c r="N8" s="224" t="s">
        <v>673</v>
      </c>
      <c r="O8" s="225" t="s">
        <v>225</v>
      </c>
      <c r="P8" s="223" t="s">
        <v>226</v>
      </c>
      <c r="Q8" s="224" t="s">
        <v>673</v>
      </c>
      <c r="R8" s="225" t="s">
        <v>225</v>
      </c>
      <c r="S8" s="223" t="s">
        <v>226</v>
      </c>
      <c r="T8" s="224" t="s">
        <v>673</v>
      </c>
      <c r="U8" s="225" t="s">
        <v>225</v>
      </c>
      <c r="V8" s="223" t="s">
        <v>226</v>
      </c>
      <c r="W8" s="224" t="s">
        <v>673</v>
      </c>
      <c r="X8" s="222" t="s">
        <v>225</v>
      </c>
      <c r="Y8" s="223" t="s">
        <v>226</v>
      </c>
      <c r="Z8" s="224" t="s">
        <v>673</v>
      </c>
      <c r="AA8" s="225" t="s">
        <v>225</v>
      </c>
      <c r="AB8" s="226" t="s">
        <v>226</v>
      </c>
      <c r="AC8" s="224" t="s">
        <v>673</v>
      </c>
      <c r="AD8" s="64"/>
    </row>
    <row r="9" spans="1:29" s="65" customFormat="1" ht="22.5" customHeight="1">
      <c r="A9" s="12"/>
      <c r="B9" s="12" t="s">
        <v>432</v>
      </c>
      <c r="C9" s="257">
        <f>C10+C39+C59+C74+C84+C85+C89</f>
        <v>2547</v>
      </c>
      <c r="D9" s="227">
        <f>D10+D39+D59+D74+D84+D85+D89</f>
        <v>2529.6002149275364</v>
      </c>
      <c r="E9" s="228">
        <f aca="true" t="shared" si="0" ref="E9:AC9">E10+E39+E59+E74+E84+E85+E89+E88</f>
        <v>35873079.316</v>
      </c>
      <c r="F9" s="228">
        <f t="shared" si="0"/>
        <v>393</v>
      </c>
      <c r="G9" s="227">
        <f t="shared" si="0"/>
        <v>321.2757913043478</v>
      </c>
      <c r="H9" s="228">
        <f t="shared" si="0"/>
        <v>4498604.42</v>
      </c>
      <c r="I9" s="228">
        <f t="shared" si="0"/>
        <v>200</v>
      </c>
      <c r="J9" s="227">
        <f t="shared" si="0"/>
        <v>293.89535985507246</v>
      </c>
      <c r="K9" s="228">
        <f t="shared" si="0"/>
        <v>3933190.966</v>
      </c>
      <c r="L9" s="228">
        <f t="shared" si="0"/>
        <v>247</v>
      </c>
      <c r="M9" s="227">
        <f t="shared" si="0"/>
        <v>274.3648710144926</v>
      </c>
      <c r="N9" s="228">
        <f t="shared" si="0"/>
        <v>3463164.5700000003</v>
      </c>
      <c r="O9" s="228">
        <f t="shared" si="0"/>
        <v>358</v>
      </c>
      <c r="P9" s="227">
        <f t="shared" si="0"/>
        <v>332.06487826086953</v>
      </c>
      <c r="Q9" s="228">
        <f t="shared" si="0"/>
        <v>4811560.319999999</v>
      </c>
      <c r="R9" s="228">
        <f t="shared" si="0"/>
        <v>301</v>
      </c>
      <c r="S9" s="227">
        <f t="shared" si="0"/>
        <v>320.48101159420287</v>
      </c>
      <c r="T9" s="228">
        <f t="shared" si="0"/>
        <v>4440771.96</v>
      </c>
      <c r="U9" s="228">
        <f t="shared" si="0"/>
        <v>396</v>
      </c>
      <c r="V9" s="227">
        <f t="shared" si="0"/>
        <v>367.2826565217391</v>
      </c>
      <c r="W9" s="228">
        <f t="shared" si="0"/>
        <v>5096994.66</v>
      </c>
      <c r="X9" s="228">
        <f t="shared" si="0"/>
        <v>506</v>
      </c>
      <c r="Y9" s="227">
        <f t="shared" si="0"/>
        <v>362.9464898550724</v>
      </c>
      <c r="Z9" s="228">
        <f t="shared" si="0"/>
        <v>5093973.0600000005</v>
      </c>
      <c r="AA9" s="228">
        <f t="shared" si="0"/>
        <v>347</v>
      </c>
      <c r="AB9" s="229">
        <f t="shared" si="0"/>
        <v>327.73415652173907</v>
      </c>
      <c r="AC9" s="228">
        <f t="shared" si="0"/>
        <v>4534819.359999999</v>
      </c>
    </row>
    <row r="10" spans="1:37" s="65" customFormat="1" ht="23.25" customHeight="1">
      <c r="A10" s="12" t="s">
        <v>27</v>
      </c>
      <c r="B10" s="230" t="s">
        <v>235</v>
      </c>
      <c r="C10" s="257">
        <f>C11+C23</f>
        <v>196</v>
      </c>
      <c r="D10" s="227">
        <f>D11+D23</f>
        <v>1577.1982149275361</v>
      </c>
      <c r="E10" s="228">
        <f>+E11+E23</f>
        <v>19944320.716</v>
      </c>
      <c r="F10" s="228">
        <f aca="true" t="shared" si="1" ref="F10:AC10">F11+F23</f>
        <v>23</v>
      </c>
      <c r="G10" s="227">
        <f t="shared" si="1"/>
        <v>185.50579130434784</v>
      </c>
      <c r="H10" s="228">
        <f t="shared" si="1"/>
        <v>2236772.42</v>
      </c>
      <c r="I10" s="257">
        <f t="shared" si="1"/>
        <v>24</v>
      </c>
      <c r="J10" s="227">
        <f t="shared" si="1"/>
        <v>182.28535985507244</v>
      </c>
      <c r="K10" s="228">
        <f t="shared" si="1"/>
        <v>2253268.966</v>
      </c>
      <c r="L10" s="257">
        <f t="shared" si="1"/>
        <v>24</v>
      </c>
      <c r="M10" s="227">
        <f t="shared" si="1"/>
        <v>180.0198710144927</v>
      </c>
      <c r="N10" s="228">
        <f t="shared" si="1"/>
        <v>2161203.5700000003</v>
      </c>
      <c r="O10" s="257">
        <f t="shared" si="1"/>
        <v>25</v>
      </c>
      <c r="P10" s="227">
        <f t="shared" si="1"/>
        <v>203.28887826086955</v>
      </c>
      <c r="Q10" s="228">
        <f t="shared" si="1"/>
        <v>2805386.5199999996</v>
      </c>
      <c r="R10" s="257">
        <f t="shared" si="1"/>
        <v>25</v>
      </c>
      <c r="S10" s="227">
        <f t="shared" si="1"/>
        <v>210.5770115942029</v>
      </c>
      <c r="T10" s="228">
        <f t="shared" si="1"/>
        <v>2706644.76</v>
      </c>
      <c r="U10" s="257">
        <f t="shared" si="1"/>
        <v>25</v>
      </c>
      <c r="V10" s="227">
        <f t="shared" si="1"/>
        <v>228.3826565217391</v>
      </c>
      <c r="W10" s="228">
        <f t="shared" si="1"/>
        <v>2856084.6599999997</v>
      </c>
      <c r="X10" s="228">
        <f t="shared" si="1"/>
        <v>25</v>
      </c>
      <c r="Y10" s="227">
        <f t="shared" si="1"/>
        <v>181.75448985507245</v>
      </c>
      <c r="Z10" s="228">
        <f t="shared" si="1"/>
        <v>2382551.46</v>
      </c>
      <c r="AA10" s="257">
        <f t="shared" si="1"/>
        <v>25</v>
      </c>
      <c r="AB10" s="229">
        <f t="shared" si="1"/>
        <v>205.3841565217391</v>
      </c>
      <c r="AC10" s="228">
        <f t="shared" si="1"/>
        <v>2542408.36</v>
      </c>
      <c r="AD10" s="66"/>
      <c r="AE10" s="66"/>
      <c r="AF10" s="66"/>
      <c r="AG10" s="66"/>
      <c r="AH10" s="66"/>
      <c r="AI10" s="66"/>
      <c r="AJ10" s="66"/>
      <c r="AK10" s="66"/>
    </row>
    <row r="11" spans="1:37" s="63" customFormat="1" ht="18.75" customHeight="1">
      <c r="A11" s="234" t="s">
        <v>2</v>
      </c>
      <c r="B11" s="258" t="s">
        <v>236</v>
      </c>
      <c r="C11" s="322">
        <f aca="true" t="shared" si="2" ref="C11:I11">SUM(C12:C22)</f>
        <v>85</v>
      </c>
      <c r="D11" s="236">
        <f t="shared" si="2"/>
        <v>702.1245217391305</v>
      </c>
      <c r="E11" s="241">
        <f t="shared" si="2"/>
        <v>8828934.399999999</v>
      </c>
      <c r="F11" s="323">
        <f t="shared" si="2"/>
        <v>10</v>
      </c>
      <c r="G11" s="236">
        <f t="shared" si="2"/>
        <v>86.54155942028986</v>
      </c>
      <c r="H11" s="241">
        <f t="shared" si="2"/>
        <v>1058872.52</v>
      </c>
      <c r="I11" s="322">
        <f t="shared" si="2"/>
        <v>10</v>
      </c>
      <c r="J11" s="236">
        <f aca="true" t="shared" si="3" ref="J11:Q11">SUM(J12:J22)</f>
        <v>80.51742463768115</v>
      </c>
      <c r="K11" s="241">
        <f t="shared" si="3"/>
        <v>991839.4600000002</v>
      </c>
      <c r="L11" s="322">
        <f>SUM(L12:L22)</f>
        <v>10</v>
      </c>
      <c r="M11" s="236">
        <f>SUM(M12:M22)</f>
        <v>79.48927826086955</v>
      </c>
      <c r="N11" s="241">
        <f t="shared" si="3"/>
        <v>960424.04</v>
      </c>
      <c r="O11" s="322">
        <f>SUM(O12:O22)</f>
        <v>11</v>
      </c>
      <c r="P11" s="236">
        <f>SUM(P12:P22)</f>
        <v>91.19634492753623</v>
      </c>
      <c r="Q11" s="241">
        <f t="shared" si="3"/>
        <v>1258509.56</v>
      </c>
      <c r="R11" s="322">
        <f aca="true" t="shared" si="4" ref="R11:AC11">SUM(R12:R22)</f>
        <v>11</v>
      </c>
      <c r="S11" s="236">
        <f>SUM(S12:S22)</f>
        <v>93.63751884057972</v>
      </c>
      <c r="T11" s="241">
        <f>SUM(T12:T22)</f>
        <v>1175955.76</v>
      </c>
      <c r="U11" s="322">
        <f t="shared" si="4"/>
        <v>11</v>
      </c>
      <c r="V11" s="236">
        <f t="shared" si="4"/>
        <v>104.77064492753622</v>
      </c>
      <c r="W11" s="241">
        <f t="shared" si="4"/>
        <v>1284432.4</v>
      </c>
      <c r="X11" s="323">
        <f t="shared" si="4"/>
        <v>11</v>
      </c>
      <c r="Y11" s="236">
        <f t="shared" si="4"/>
        <v>76.7831652173913</v>
      </c>
      <c r="Z11" s="241">
        <f>SUM(Z12:Z22)</f>
        <v>1012515.1799999999</v>
      </c>
      <c r="AA11" s="322">
        <f t="shared" si="4"/>
        <v>11</v>
      </c>
      <c r="AB11" s="259">
        <f>SUM(AB12:AB22)</f>
        <v>89.18858550724636</v>
      </c>
      <c r="AC11" s="241">
        <f t="shared" si="4"/>
        <v>1086385.48</v>
      </c>
      <c r="AD11" s="67"/>
      <c r="AE11" s="67"/>
      <c r="AF11" s="67"/>
      <c r="AG11" s="67"/>
      <c r="AH11" s="67"/>
      <c r="AI11" s="67"/>
      <c r="AJ11" s="67"/>
      <c r="AK11" s="67"/>
    </row>
    <row r="12" spans="1:38" s="69" customFormat="1" ht="14.25" customHeight="1">
      <c r="A12" s="234">
        <v>1</v>
      </c>
      <c r="B12" s="235" t="s">
        <v>618</v>
      </c>
      <c r="C12" s="322">
        <f>+F12+I12+L12+O12+R12+U12+X12+AA12</f>
        <v>8</v>
      </c>
      <c r="D12" s="236">
        <f>G12+J12+M12+P12+S12+V12+Y12+AB12</f>
        <v>55.31099999999999</v>
      </c>
      <c r="E12" s="241">
        <f>H12+K12+N12+Q12+T12+W12+Z12+AC12</f>
        <v>664035.2999999999</v>
      </c>
      <c r="F12" s="324">
        <v>1</v>
      </c>
      <c r="G12" s="237">
        <v>9.3111</v>
      </c>
      <c r="H12" s="241">
        <v>104584.68</v>
      </c>
      <c r="I12" s="324">
        <v>1</v>
      </c>
      <c r="J12" s="236">
        <v>9.003499999999999</v>
      </c>
      <c r="K12" s="241">
        <v>100500.8</v>
      </c>
      <c r="L12" s="322">
        <v>1</v>
      </c>
      <c r="M12" s="242">
        <v>8.768</v>
      </c>
      <c r="N12" s="241">
        <v>98055.9</v>
      </c>
      <c r="O12" s="322">
        <v>1</v>
      </c>
      <c r="P12" s="237">
        <v>1.52</v>
      </c>
      <c r="Q12" s="241">
        <v>20976</v>
      </c>
      <c r="R12" s="322">
        <v>1</v>
      </c>
      <c r="S12" s="242">
        <v>10.1966</v>
      </c>
      <c r="T12" s="241">
        <v>140713.08</v>
      </c>
      <c r="U12" s="322">
        <v>1</v>
      </c>
      <c r="V12" s="242">
        <v>12.308799999999998</v>
      </c>
      <c r="W12" s="241">
        <v>141203.44</v>
      </c>
      <c r="X12" s="322">
        <v>1</v>
      </c>
      <c r="Y12" s="243">
        <v>2.775</v>
      </c>
      <c r="Z12" s="241">
        <v>38295</v>
      </c>
      <c r="AA12" s="322">
        <v>1</v>
      </c>
      <c r="AB12" s="236">
        <v>1.428</v>
      </c>
      <c r="AC12" s="241">
        <v>19706.4</v>
      </c>
      <c r="AD12" s="67"/>
      <c r="AE12" s="67"/>
      <c r="AF12" s="67"/>
      <c r="AG12" s="67"/>
      <c r="AH12" s="67"/>
      <c r="AI12" s="67"/>
      <c r="AJ12" s="67"/>
      <c r="AK12" s="67"/>
      <c r="AL12" s="68"/>
    </row>
    <row r="13" spans="1:38" s="71" customFormat="1" ht="14.25" customHeight="1">
      <c r="A13" s="234">
        <v>2</v>
      </c>
      <c r="B13" s="235" t="s">
        <v>619</v>
      </c>
      <c r="C13" s="322">
        <f aca="true" t="shared" si="5" ref="C13:C22">+F13+I13+L13+O13+R13+U13+X13+AA13</f>
        <v>8</v>
      </c>
      <c r="D13" s="236">
        <f aca="true" t="shared" si="6" ref="D13:E22">G13+J13+M13+P13+S13+V13+Y13+AB13</f>
        <v>63.43499275362319</v>
      </c>
      <c r="E13" s="241">
        <f t="shared" si="6"/>
        <v>807058.3999999999</v>
      </c>
      <c r="F13" s="324">
        <v>1</v>
      </c>
      <c r="G13" s="244">
        <v>9.4225</v>
      </c>
      <c r="H13" s="241">
        <v>103868</v>
      </c>
      <c r="I13" s="324">
        <v>1</v>
      </c>
      <c r="J13" s="236">
        <v>7.8755594202898545</v>
      </c>
      <c r="K13" s="241">
        <v>108682.72</v>
      </c>
      <c r="L13" s="322">
        <v>1</v>
      </c>
      <c r="M13" s="236">
        <v>8.876933333333334</v>
      </c>
      <c r="N13" s="241">
        <v>122501.68</v>
      </c>
      <c r="O13" s="322">
        <v>1</v>
      </c>
      <c r="P13" s="244">
        <v>9.597</v>
      </c>
      <c r="Q13" s="241">
        <v>132438.6</v>
      </c>
      <c r="R13" s="322">
        <v>1</v>
      </c>
      <c r="S13" s="236">
        <v>2.3725</v>
      </c>
      <c r="T13" s="241">
        <v>32740.5</v>
      </c>
      <c r="U13" s="322">
        <v>1</v>
      </c>
      <c r="V13" s="236">
        <v>6.964300000000001</v>
      </c>
      <c r="W13" s="241">
        <v>96107.34</v>
      </c>
      <c r="X13" s="322">
        <v>1</v>
      </c>
      <c r="Y13" s="243">
        <v>9.067</v>
      </c>
      <c r="Z13" s="241">
        <v>103792.1</v>
      </c>
      <c r="AA13" s="322">
        <v>1</v>
      </c>
      <c r="AB13" s="236">
        <v>9.2592</v>
      </c>
      <c r="AC13" s="241">
        <v>106927.46</v>
      </c>
      <c r="AD13" s="67"/>
      <c r="AE13" s="67"/>
      <c r="AF13" s="67"/>
      <c r="AG13" s="67"/>
      <c r="AH13" s="67"/>
      <c r="AI13" s="67"/>
      <c r="AJ13" s="67"/>
      <c r="AK13" s="67"/>
      <c r="AL13" s="70"/>
    </row>
    <row r="14" spans="1:38" s="71" customFormat="1" ht="14.25" customHeight="1">
      <c r="A14" s="234">
        <v>3</v>
      </c>
      <c r="B14" s="235" t="s">
        <v>620</v>
      </c>
      <c r="C14" s="322">
        <f t="shared" si="5"/>
        <v>7</v>
      </c>
      <c r="D14" s="236">
        <f t="shared" si="6"/>
        <v>61.085366666666665</v>
      </c>
      <c r="E14" s="241">
        <f t="shared" si="6"/>
        <v>753381.5599999999</v>
      </c>
      <c r="F14" s="324">
        <v>1</v>
      </c>
      <c r="G14" s="244">
        <v>9.094433333333333</v>
      </c>
      <c r="H14" s="241">
        <v>125503.18</v>
      </c>
      <c r="I14" s="324">
        <v>1</v>
      </c>
      <c r="J14" s="236">
        <v>7.505599999999999</v>
      </c>
      <c r="K14" s="241">
        <v>83774.28</v>
      </c>
      <c r="L14" s="322"/>
      <c r="M14" s="236"/>
      <c r="N14" s="241"/>
      <c r="O14" s="322">
        <v>1</v>
      </c>
      <c r="P14" s="244">
        <v>6.977</v>
      </c>
      <c r="Q14" s="241">
        <v>96282.6</v>
      </c>
      <c r="R14" s="322">
        <v>1</v>
      </c>
      <c r="S14" s="236">
        <v>9.0396</v>
      </c>
      <c r="T14" s="241">
        <v>102045.48</v>
      </c>
      <c r="U14" s="322">
        <v>1</v>
      </c>
      <c r="V14" s="236">
        <v>9.30573333333333</v>
      </c>
      <c r="W14" s="241">
        <v>128419.12</v>
      </c>
      <c r="X14" s="322">
        <v>1</v>
      </c>
      <c r="Y14" s="243">
        <v>10.096</v>
      </c>
      <c r="Z14" s="241">
        <v>113564.8</v>
      </c>
      <c r="AA14" s="322">
        <v>1</v>
      </c>
      <c r="AB14" s="236">
        <v>9.067</v>
      </c>
      <c r="AC14" s="241">
        <v>103792.1</v>
      </c>
      <c r="AD14" s="67"/>
      <c r="AE14" s="67"/>
      <c r="AF14" s="67"/>
      <c r="AG14" s="67"/>
      <c r="AH14" s="67"/>
      <c r="AI14" s="67"/>
      <c r="AJ14" s="67"/>
      <c r="AK14" s="67"/>
      <c r="AL14" s="70"/>
    </row>
    <row r="15" spans="1:38" s="71" customFormat="1" ht="14.25" customHeight="1">
      <c r="A15" s="234">
        <v>4</v>
      </c>
      <c r="B15" s="235" t="s">
        <v>621</v>
      </c>
      <c r="C15" s="322">
        <f t="shared" si="5"/>
        <v>8</v>
      </c>
      <c r="D15" s="236">
        <f t="shared" si="6"/>
        <v>71.13408260869565</v>
      </c>
      <c r="E15" s="241">
        <f t="shared" si="6"/>
        <v>859290.34</v>
      </c>
      <c r="F15" s="324">
        <v>1</v>
      </c>
      <c r="G15" s="244">
        <v>10.605226086956522</v>
      </c>
      <c r="H15" s="241">
        <v>146352.12</v>
      </c>
      <c r="I15" s="324">
        <v>1</v>
      </c>
      <c r="J15" s="236">
        <v>10.620626086956522</v>
      </c>
      <c r="K15" s="241">
        <v>116296.64</v>
      </c>
      <c r="L15" s="322">
        <v>1</v>
      </c>
      <c r="M15" s="236">
        <v>8.659826086956521</v>
      </c>
      <c r="N15" s="241">
        <v>96160.6</v>
      </c>
      <c r="O15" s="322">
        <v>1</v>
      </c>
      <c r="P15" s="244">
        <v>10.782826086956524</v>
      </c>
      <c r="Q15" s="241">
        <v>148803</v>
      </c>
      <c r="R15" s="322">
        <v>1</v>
      </c>
      <c r="S15" s="236">
        <v>9.6645</v>
      </c>
      <c r="T15" s="241">
        <v>109461.6</v>
      </c>
      <c r="U15" s="322">
        <v>1</v>
      </c>
      <c r="V15" s="236">
        <v>9.414826086956522</v>
      </c>
      <c r="W15" s="241">
        <v>108592.1</v>
      </c>
      <c r="X15" s="322">
        <v>1</v>
      </c>
      <c r="Y15" s="243">
        <v>1.7208260869565217</v>
      </c>
      <c r="Z15" s="241">
        <v>23747.4</v>
      </c>
      <c r="AA15" s="322">
        <v>1</v>
      </c>
      <c r="AB15" s="236">
        <v>9.66542608695652</v>
      </c>
      <c r="AC15" s="241">
        <v>109876.88</v>
      </c>
      <c r="AD15" s="67"/>
      <c r="AE15" s="67"/>
      <c r="AF15" s="67"/>
      <c r="AG15" s="67"/>
      <c r="AH15" s="67"/>
      <c r="AI15" s="67"/>
      <c r="AJ15" s="67"/>
      <c r="AK15" s="67"/>
      <c r="AL15" s="70"/>
    </row>
    <row r="16" spans="1:38" s="71" customFormat="1" ht="14.25" customHeight="1">
      <c r="A16" s="234">
        <v>5</v>
      </c>
      <c r="B16" s="235" t="s">
        <v>622</v>
      </c>
      <c r="C16" s="322">
        <f t="shared" si="5"/>
        <v>8</v>
      </c>
      <c r="D16" s="236">
        <f t="shared" si="6"/>
        <v>71.64896521739131</v>
      </c>
      <c r="E16" s="241">
        <f t="shared" si="6"/>
        <v>874526.2199999999</v>
      </c>
      <c r="F16" s="324">
        <v>1</v>
      </c>
      <c r="G16" s="244">
        <v>7.731933333333334</v>
      </c>
      <c r="H16" s="241">
        <v>106700.68</v>
      </c>
      <c r="I16" s="324">
        <v>1</v>
      </c>
      <c r="J16" s="236">
        <v>8.461739130434783</v>
      </c>
      <c r="K16" s="241">
        <v>92622</v>
      </c>
      <c r="L16" s="322">
        <v>1</v>
      </c>
      <c r="M16" s="236">
        <v>7.982626086956522</v>
      </c>
      <c r="N16" s="241">
        <v>87137.24</v>
      </c>
      <c r="O16" s="322">
        <v>1</v>
      </c>
      <c r="P16" s="244">
        <v>10.929333333333332</v>
      </c>
      <c r="Q16" s="241">
        <v>150824.8</v>
      </c>
      <c r="R16" s="322">
        <v>1</v>
      </c>
      <c r="S16" s="236">
        <v>10.096</v>
      </c>
      <c r="T16" s="241">
        <v>113564.8</v>
      </c>
      <c r="U16" s="322">
        <v>1</v>
      </c>
      <c r="V16" s="236">
        <v>9.6786</v>
      </c>
      <c r="W16" s="241">
        <v>110461.18</v>
      </c>
      <c r="X16" s="322">
        <v>1</v>
      </c>
      <c r="Y16" s="243">
        <v>8.6786</v>
      </c>
      <c r="Z16" s="241">
        <v>119764.68</v>
      </c>
      <c r="AA16" s="322">
        <v>1</v>
      </c>
      <c r="AB16" s="236">
        <v>8.090133333333332</v>
      </c>
      <c r="AC16" s="241">
        <v>93450.84</v>
      </c>
      <c r="AD16" s="67"/>
      <c r="AE16" s="67"/>
      <c r="AF16" s="67" t="s">
        <v>237</v>
      </c>
      <c r="AG16" s="67"/>
      <c r="AH16" s="67"/>
      <c r="AI16" s="67"/>
      <c r="AJ16" s="67"/>
      <c r="AK16" s="67"/>
      <c r="AL16" s="70"/>
    </row>
    <row r="17" spans="1:38" s="71" customFormat="1" ht="14.25" customHeight="1">
      <c r="A17" s="234">
        <v>6</v>
      </c>
      <c r="B17" s="235" t="s">
        <v>622</v>
      </c>
      <c r="C17" s="322">
        <f t="shared" si="5"/>
        <v>6</v>
      </c>
      <c r="D17" s="236">
        <f t="shared" si="6"/>
        <v>52.657005797101455</v>
      </c>
      <c r="E17" s="241">
        <f>H17+K17+N17+Q17+T17+W17+Z17+AC17</f>
        <v>700906.6799999999</v>
      </c>
      <c r="F17" s="324"/>
      <c r="G17" s="245"/>
      <c r="H17" s="241">
        <v>0</v>
      </c>
      <c r="I17" s="324"/>
      <c r="J17" s="236"/>
      <c r="K17" s="241">
        <v>0</v>
      </c>
      <c r="L17" s="322">
        <v>1</v>
      </c>
      <c r="M17" s="236">
        <v>5.7238</v>
      </c>
      <c r="N17" s="241">
        <v>78988.44</v>
      </c>
      <c r="O17" s="322">
        <v>1</v>
      </c>
      <c r="P17" s="244">
        <v>8.767000000000001</v>
      </c>
      <c r="Q17" s="241">
        <v>120984.6</v>
      </c>
      <c r="R17" s="322">
        <v>1</v>
      </c>
      <c r="S17" s="236">
        <v>10.596</v>
      </c>
      <c r="T17" s="241">
        <v>120464.8</v>
      </c>
      <c r="U17" s="322">
        <v>1</v>
      </c>
      <c r="V17" s="236">
        <v>10.359759420289855</v>
      </c>
      <c r="W17" s="241">
        <v>142964.68</v>
      </c>
      <c r="X17" s="322">
        <v>1</v>
      </c>
      <c r="Y17" s="243">
        <v>7.3375130434782605</v>
      </c>
      <c r="Z17" s="241">
        <v>101257.68</v>
      </c>
      <c r="AA17" s="322">
        <v>1</v>
      </c>
      <c r="AB17" s="236">
        <v>9.872933333333334</v>
      </c>
      <c r="AC17" s="241">
        <v>136246.48</v>
      </c>
      <c r="AD17" s="67"/>
      <c r="AE17" s="67"/>
      <c r="AF17" s="67"/>
      <c r="AG17" s="67"/>
      <c r="AH17" s="67"/>
      <c r="AI17" s="67"/>
      <c r="AJ17" s="67"/>
      <c r="AK17" s="67"/>
      <c r="AL17" s="70"/>
    </row>
    <row r="18" spans="1:38" s="71" customFormat="1" ht="14.25" customHeight="1">
      <c r="A18" s="234">
        <v>7</v>
      </c>
      <c r="B18" s="235" t="s">
        <v>623</v>
      </c>
      <c r="C18" s="322">
        <f t="shared" si="5"/>
        <v>8</v>
      </c>
      <c r="D18" s="236">
        <f t="shared" si="6"/>
        <v>66.81358985507246</v>
      </c>
      <c r="E18" s="241">
        <f t="shared" si="6"/>
        <v>832350.54</v>
      </c>
      <c r="F18" s="324">
        <v>1</v>
      </c>
      <c r="G18" s="244">
        <v>7.4997</v>
      </c>
      <c r="H18" s="241">
        <v>83451.36</v>
      </c>
      <c r="I18" s="324">
        <v>1</v>
      </c>
      <c r="J18" s="236">
        <v>8.272</v>
      </c>
      <c r="K18" s="241">
        <v>92821.1</v>
      </c>
      <c r="L18" s="322">
        <v>1</v>
      </c>
      <c r="M18" s="236">
        <v>8.545826086956522</v>
      </c>
      <c r="N18" s="241">
        <v>94989.9</v>
      </c>
      <c r="O18" s="322">
        <v>1</v>
      </c>
      <c r="P18" s="244">
        <v>7.458159420289855</v>
      </c>
      <c r="Q18" s="241">
        <v>102922.6</v>
      </c>
      <c r="R18" s="322">
        <v>1</v>
      </c>
      <c r="S18" s="236">
        <v>8.230159420289855</v>
      </c>
      <c r="T18" s="241">
        <v>113576.2</v>
      </c>
      <c r="U18" s="322">
        <v>1</v>
      </c>
      <c r="V18" s="236">
        <v>11.338159420289855</v>
      </c>
      <c r="W18" s="241">
        <v>131109.1</v>
      </c>
      <c r="X18" s="322">
        <v>1</v>
      </c>
      <c r="Y18" s="243">
        <v>6.624826086956522</v>
      </c>
      <c r="Z18" s="241">
        <v>91422.6</v>
      </c>
      <c r="AA18" s="322">
        <v>1</v>
      </c>
      <c r="AB18" s="236">
        <v>8.844759420289854</v>
      </c>
      <c r="AC18" s="241">
        <v>122057.68</v>
      </c>
      <c r="AD18" s="67"/>
      <c r="AE18" s="67"/>
      <c r="AF18" s="67"/>
      <c r="AG18" s="67"/>
      <c r="AH18" s="67"/>
      <c r="AI18" s="67"/>
      <c r="AJ18" s="67"/>
      <c r="AK18" s="67"/>
      <c r="AL18" s="70"/>
    </row>
    <row r="19" spans="1:38" s="71" customFormat="1" ht="14.25" customHeight="1">
      <c r="A19" s="234">
        <v>8</v>
      </c>
      <c r="B19" s="235" t="s">
        <v>624</v>
      </c>
      <c r="C19" s="322">
        <f t="shared" si="5"/>
        <v>8</v>
      </c>
      <c r="D19" s="236">
        <f t="shared" si="6"/>
        <v>66.27732608695652</v>
      </c>
      <c r="E19" s="241">
        <f t="shared" si="6"/>
        <v>889269.6</v>
      </c>
      <c r="F19" s="324">
        <v>1</v>
      </c>
      <c r="G19" s="244">
        <v>7.4989</v>
      </c>
      <c r="H19" s="241">
        <v>103484.82</v>
      </c>
      <c r="I19" s="324">
        <v>1</v>
      </c>
      <c r="J19" s="236">
        <v>7.2489333333333335</v>
      </c>
      <c r="K19" s="241">
        <v>100035.28</v>
      </c>
      <c r="L19" s="322">
        <v>1</v>
      </c>
      <c r="M19" s="236">
        <v>6.430133333333334</v>
      </c>
      <c r="N19" s="241">
        <v>88735.84</v>
      </c>
      <c r="O19" s="322">
        <v>1</v>
      </c>
      <c r="P19" s="244">
        <v>8.5396</v>
      </c>
      <c r="Q19" s="241">
        <v>117846.48</v>
      </c>
      <c r="R19" s="322">
        <v>1</v>
      </c>
      <c r="S19" s="236">
        <v>9.345559420289852</v>
      </c>
      <c r="T19" s="241">
        <v>128968.72</v>
      </c>
      <c r="U19" s="322">
        <v>1</v>
      </c>
      <c r="V19" s="236">
        <v>10.790333333333333</v>
      </c>
      <c r="W19" s="241">
        <v>123549.1</v>
      </c>
      <c r="X19" s="322">
        <v>1</v>
      </c>
      <c r="Y19" s="243">
        <v>7.968333333333332</v>
      </c>
      <c r="Z19" s="241">
        <v>109963</v>
      </c>
      <c r="AA19" s="322">
        <v>1</v>
      </c>
      <c r="AB19" s="236">
        <v>8.455533333333332</v>
      </c>
      <c r="AC19" s="241">
        <v>116686.36</v>
      </c>
      <c r="AD19" s="67"/>
      <c r="AE19" s="67"/>
      <c r="AF19" s="67"/>
      <c r="AG19" s="67"/>
      <c r="AH19" s="67"/>
      <c r="AI19" s="67"/>
      <c r="AJ19" s="67"/>
      <c r="AK19" s="67"/>
      <c r="AL19" s="70"/>
    </row>
    <row r="20" spans="1:38" s="71" customFormat="1" ht="14.25" customHeight="1">
      <c r="A20" s="234">
        <v>9</v>
      </c>
      <c r="B20" s="235" t="s">
        <v>625</v>
      </c>
      <c r="C20" s="322">
        <f t="shared" si="5"/>
        <v>8</v>
      </c>
      <c r="D20" s="236">
        <f t="shared" si="6"/>
        <v>63.14916666666666</v>
      </c>
      <c r="E20" s="241">
        <f t="shared" si="6"/>
        <v>806736.5</v>
      </c>
      <c r="F20" s="324">
        <v>1</v>
      </c>
      <c r="G20" s="244">
        <v>7.633033333333333</v>
      </c>
      <c r="H20" s="241">
        <v>85291.36</v>
      </c>
      <c r="I20" s="324">
        <v>1</v>
      </c>
      <c r="J20" s="236">
        <v>7.409733333333333</v>
      </c>
      <c r="K20" s="241">
        <v>102254.32</v>
      </c>
      <c r="L20" s="322">
        <v>1</v>
      </c>
      <c r="M20" s="236">
        <v>8.262799999999999</v>
      </c>
      <c r="N20" s="241">
        <v>89796.14</v>
      </c>
      <c r="O20" s="322">
        <v>1</v>
      </c>
      <c r="P20" s="244">
        <v>8.353933333333334</v>
      </c>
      <c r="Q20" s="241">
        <v>115284.28</v>
      </c>
      <c r="R20" s="322">
        <v>1</v>
      </c>
      <c r="S20" s="236">
        <v>8.092599999999997</v>
      </c>
      <c r="T20" s="241">
        <v>111677.88</v>
      </c>
      <c r="U20" s="322">
        <v>1</v>
      </c>
      <c r="V20" s="236">
        <v>7.853933333333334</v>
      </c>
      <c r="W20" s="241">
        <v>108384.28</v>
      </c>
      <c r="X20" s="322">
        <v>1</v>
      </c>
      <c r="Y20" s="243">
        <v>7.281933333333333</v>
      </c>
      <c r="Z20" s="241">
        <v>100490.68</v>
      </c>
      <c r="AA20" s="322">
        <v>1</v>
      </c>
      <c r="AB20" s="236">
        <v>8.261199999999999</v>
      </c>
      <c r="AC20" s="241">
        <v>93557.56</v>
      </c>
      <c r="AD20" s="67"/>
      <c r="AE20" s="67"/>
      <c r="AF20" s="67"/>
      <c r="AG20" s="67"/>
      <c r="AH20" s="67"/>
      <c r="AI20" s="67"/>
      <c r="AJ20" s="67"/>
      <c r="AK20" s="67"/>
      <c r="AL20" s="70"/>
    </row>
    <row r="21" spans="1:38" s="71" customFormat="1" ht="14.25" customHeight="1">
      <c r="A21" s="234">
        <v>10</v>
      </c>
      <c r="B21" s="235" t="s">
        <v>626</v>
      </c>
      <c r="C21" s="322">
        <f t="shared" si="5"/>
        <v>8</v>
      </c>
      <c r="D21" s="236">
        <f t="shared" si="6"/>
        <v>65.57272608695652</v>
      </c>
      <c r="E21" s="241">
        <f t="shared" si="6"/>
        <v>840825.6199999999</v>
      </c>
      <c r="F21" s="324">
        <v>1</v>
      </c>
      <c r="G21" s="244">
        <v>9.6213</v>
      </c>
      <c r="H21" s="241">
        <v>106933.44</v>
      </c>
      <c r="I21" s="324">
        <v>1</v>
      </c>
      <c r="J21" s="236">
        <v>7.409733333333333</v>
      </c>
      <c r="K21" s="241">
        <v>102254.32</v>
      </c>
      <c r="L21" s="322">
        <v>1</v>
      </c>
      <c r="M21" s="236">
        <v>8.662933333333333</v>
      </c>
      <c r="N21" s="241">
        <v>119548.48</v>
      </c>
      <c r="O21" s="322">
        <v>1</v>
      </c>
      <c r="P21" s="244">
        <v>9.145559420289853</v>
      </c>
      <c r="Q21" s="241">
        <v>126208.72</v>
      </c>
      <c r="R21" s="322">
        <v>1</v>
      </c>
      <c r="S21" s="236">
        <v>7.869</v>
      </c>
      <c r="T21" s="241">
        <v>108592.2</v>
      </c>
      <c r="U21" s="322">
        <v>1</v>
      </c>
      <c r="V21" s="236">
        <v>8.163599999999999</v>
      </c>
      <c r="W21" s="241">
        <v>94464.68</v>
      </c>
      <c r="X21" s="322">
        <v>1</v>
      </c>
      <c r="Y21" s="243">
        <v>6.578399999999999</v>
      </c>
      <c r="Z21" s="241">
        <v>90781.92</v>
      </c>
      <c r="AA21" s="322">
        <v>1</v>
      </c>
      <c r="AB21" s="236">
        <v>8.1222</v>
      </c>
      <c r="AC21" s="241">
        <v>92041.86</v>
      </c>
      <c r="AD21" s="67"/>
      <c r="AE21" s="67"/>
      <c r="AF21" s="67"/>
      <c r="AG21" s="67"/>
      <c r="AH21" s="67"/>
      <c r="AI21" s="67"/>
      <c r="AJ21" s="67"/>
      <c r="AK21" s="67"/>
      <c r="AL21" s="70"/>
    </row>
    <row r="22" spans="1:38" s="73" customFormat="1" ht="14.25" customHeight="1">
      <c r="A22" s="234">
        <v>11</v>
      </c>
      <c r="B22" s="235" t="s">
        <v>627</v>
      </c>
      <c r="C22" s="322">
        <f t="shared" si="5"/>
        <v>8</v>
      </c>
      <c r="D22" s="236">
        <f t="shared" si="6"/>
        <v>65.04029999999999</v>
      </c>
      <c r="E22" s="241">
        <f t="shared" si="6"/>
        <v>800553.64</v>
      </c>
      <c r="F22" s="324">
        <v>1</v>
      </c>
      <c r="G22" s="244">
        <v>8.123433333333333</v>
      </c>
      <c r="H22" s="241">
        <v>92702.88</v>
      </c>
      <c r="I22" s="324">
        <v>1</v>
      </c>
      <c r="J22" s="236">
        <v>6.71</v>
      </c>
      <c r="K22" s="241">
        <v>92598</v>
      </c>
      <c r="L22" s="322">
        <v>1</v>
      </c>
      <c r="M22" s="236">
        <v>7.5764</v>
      </c>
      <c r="N22" s="241">
        <v>84509.82</v>
      </c>
      <c r="O22" s="322">
        <v>1</v>
      </c>
      <c r="P22" s="244">
        <v>9.12593333333333</v>
      </c>
      <c r="Q22" s="241">
        <v>125937.88</v>
      </c>
      <c r="R22" s="322">
        <v>1</v>
      </c>
      <c r="S22" s="236">
        <v>8.135</v>
      </c>
      <c r="T22" s="241">
        <v>94150.5</v>
      </c>
      <c r="U22" s="322">
        <v>1</v>
      </c>
      <c r="V22" s="236">
        <v>8.5926</v>
      </c>
      <c r="W22" s="241">
        <v>99177.38</v>
      </c>
      <c r="X22" s="322">
        <v>1</v>
      </c>
      <c r="Y22" s="243">
        <v>8.654733333333331</v>
      </c>
      <c r="Z22" s="241">
        <v>119435.32</v>
      </c>
      <c r="AA22" s="322">
        <v>1</v>
      </c>
      <c r="AB22" s="236">
        <v>8.1222</v>
      </c>
      <c r="AC22" s="241">
        <v>92041.86</v>
      </c>
      <c r="AD22" s="67"/>
      <c r="AE22" s="67"/>
      <c r="AF22" s="67"/>
      <c r="AG22" s="67"/>
      <c r="AH22" s="67"/>
      <c r="AI22" s="67"/>
      <c r="AJ22" s="67"/>
      <c r="AK22" s="67"/>
      <c r="AL22" s="72"/>
    </row>
    <row r="23" spans="1:37" s="63" customFormat="1" ht="14.25" customHeight="1">
      <c r="A23" s="234" t="s">
        <v>5</v>
      </c>
      <c r="B23" s="235" t="s">
        <v>238</v>
      </c>
      <c r="C23" s="322">
        <f>SUM(C24:C38)</f>
        <v>111</v>
      </c>
      <c r="D23" s="236">
        <f>SUM(D24:D38)</f>
        <v>875.0736931884056</v>
      </c>
      <c r="E23" s="241">
        <f>SUM(E24:E38)</f>
        <v>11115386.316</v>
      </c>
      <c r="F23" s="323">
        <f>SUM(F24:F38)</f>
        <v>13</v>
      </c>
      <c r="G23" s="236">
        <f aca="true" t="shared" si="7" ref="G23:Q23">SUM(G24:G38)</f>
        <v>98.96423188405798</v>
      </c>
      <c r="H23" s="241">
        <f t="shared" si="7"/>
        <v>1177899.9000000001</v>
      </c>
      <c r="I23" s="323">
        <f t="shared" si="7"/>
        <v>14</v>
      </c>
      <c r="J23" s="236">
        <f t="shared" si="7"/>
        <v>101.76793521739131</v>
      </c>
      <c r="K23" s="241">
        <f t="shared" si="7"/>
        <v>1261429.506</v>
      </c>
      <c r="L23" s="322">
        <f t="shared" si="7"/>
        <v>14</v>
      </c>
      <c r="M23" s="236">
        <f t="shared" si="7"/>
        <v>100.53059275362315</v>
      </c>
      <c r="N23" s="241">
        <f t="shared" si="7"/>
        <v>1200779.5300000003</v>
      </c>
      <c r="O23" s="322">
        <f t="shared" si="7"/>
        <v>14</v>
      </c>
      <c r="P23" s="236">
        <f>SUM(P24:P38)</f>
        <v>112.09253333333332</v>
      </c>
      <c r="Q23" s="241">
        <f t="shared" si="7"/>
        <v>1546876.9599999995</v>
      </c>
      <c r="R23" s="322">
        <f aca="true" t="shared" si="8" ref="R23:AC23">SUM(R24:R38)</f>
        <v>14</v>
      </c>
      <c r="S23" s="236">
        <f>SUM(S24:S38)</f>
        <v>116.93949275362318</v>
      </c>
      <c r="T23" s="241">
        <f t="shared" si="8"/>
        <v>1530689</v>
      </c>
      <c r="U23" s="322">
        <f>SUM(U24:U38)</f>
        <v>14</v>
      </c>
      <c r="V23" s="236">
        <f t="shared" si="8"/>
        <v>123.61201159420288</v>
      </c>
      <c r="W23" s="241">
        <f t="shared" si="8"/>
        <v>1571652.2599999998</v>
      </c>
      <c r="X23" s="323">
        <f t="shared" si="8"/>
        <v>14</v>
      </c>
      <c r="Y23" s="236">
        <f>SUM(Y24:Y38)</f>
        <v>104.97132463768114</v>
      </c>
      <c r="Z23" s="241">
        <f t="shared" si="8"/>
        <v>1370036.28</v>
      </c>
      <c r="AA23" s="322">
        <f t="shared" si="8"/>
        <v>14</v>
      </c>
      <c r="AB23" s="259">
        <f t="shared" si="8"/>
        <v>116.19557101449273</v>
      </c>
      <c r="AC23" s="241">
        <f t="shared" si="8"/>
        <v>1456022.88</v>
      </c>
      <c r="AD23" s="67"/>
      <c r="AE23" s="67"/>
      <c r="AF23" s="67"/>
      <c r="AG23" s="67"/>
      <c r="AH23" s="67"/>
      <c r="AI23" s="67"/>
      <c r="AJ23" s="67"/>
      <c r="AK23" s="67"/>
    </row>
    <row r="24" spans="1:38" s="69" customFormat="1" ht="14.25" customHeight="1">
      <c r="A24" s="234">
        <v>1</v>
      </c>
      <c r="B24" s="235" t="s">
        <v>239</v>
      </c>
      <c r="C24" s="322">
        <f aca="true" t="shared" si="9" ref="C24:C38">+F24+I24+L24+O24+R24+U24+X24+AA24</f>
        <v>8</v>
      </c>
      <c r="D24" s="236">
        <f aca="true" t="shared" si="10" ref="D24:E38">G24+J24+M24+P24+S24+V24+Y24+AB24</f>
        <v>63.69772608695652</v>
      </c>
      <c r="E24" s="241">
        <f t="shared" si="10"/>
        <v>768019.12</v>
      </c>
      <c r="F24" s="324">
        <v>1</v>
      </c>
      <c r="G24" s="244">
        <v>8.64</v>
      </c>
      <c r="H24" s="241">
        <v>119232</v>
      </c>
      <c r="I24" s="322">
        <v>1</v>
      </c>
      <c r="J24" s="325">
        <v>6.7627999999999995</v>
      </c>
      <c r="K24" s="241">
        <v>73523.64</v>
      </c>
      <c r="L24" s="322">
        <v>1</v>
      </c>
      <c r="M24" s="236">
        <v>8.0891</v>
      </c>
      <c r="N24" s="241">
        <v>89170.08</v>
      </c>
      <c r="O24" s="322">
        <v>1</v>
      </c>
      <c r="P24" s="244">
        <v>10.8908</v>
      </c>
      <c r="Q24" s="241">
        <v>150293.04</v>
      </c>
      <c r="R24" s="322">
        <v>1</v>
      </c>
      <c r="S24" s="236">
        <v>8.6948</v>
      </c>
      <c r="T24" s="241">
        <v>98977.74</v>
      </c>
      <c r="U24" s="322">
        <v>1</v>
      </c>
      <c r="V24" s="236">
        <v>10.4368</v>
      </c>
      <c r="W24" s="241">
        <v>117784.84</v>
      </c>
      <c r="X24" s="322">
        <v>1</v>
      </c>
      <c r="Y24" s="243">
        <v>1.28</v>
      </c>
      <c r="Z24" s="241">
        <v>17664</v>
      </c>
      <c r="AA24" s="322">
        <v>1</v>
      </c>
      <c r="AB24" s="236">
        <v>8.903426086956522</v>
      </c>
      <c r="AC24" s="241">
        <v>101373.78</v>
      </c>
      <c r="AD24" s="67"/>
      <c r="AE24" s="67"/>
      <c r="AF24" s="67"/>
      <c r="AG24" s="67"/>
      <c r="AH24" s="67"/>
      <c r="AI24" s="67"/>
      <c r="AJ24" s="67"/>
      <c r="AK24" s="67"/>
      <c r="AL24" s="68"/>
    </row>
    <row r="25" spans="1:38" s="71" customFormat="1" ht="14.25" customHeight="1">
      <c r="A25" s="234">
        <v>2</v>
      </c>
      <c r="B25" s="235" t="s">
        <v>672</v>
      </c>
      <c r="C25" s="322">
        <f t="shared" si="9"/>
        <v>8</v>
      </c>
      <c r="D25" s="236">
        <f t="shared" si="10"/>
        <v>64.54717</v>
      </c>
      <c r="E25" s="241">
        <f t="shared" si="10"/>
        <v>751244.446</v>
      </c>
      <c r="F25" s="324">
        <v>1</v>
      </c>
      <c r="G25" s="244">
        <v>7.297599999999999</v>
      </c>
      <c r="H25" s="241">
        <v>80903.88</v>
      </c>
      <c r="I25" s="322">
        <v>1</v>
      </c>
      <c r="J25" s="325">
        <v>7.06077</v>
      </c>
      <c r="K25" s="241">
        <v>78601.62599999999</v>
      </c>
      <c r="L25" s="322">
        <v>1</v>
      </c>
      <c r="M25" s="236">
        <v>8.163599999999999</v>
      </c>
      <c r="N25" s="241">
        <v>89634.68</v>
      </c>
      <c r="O25" s="322">
        <v>1</v>
      </c>
      <c r="P25" s="244">
        <v>8.091733333333332</v>
      </c>
      <c r="Q25" s="241">
        <v>111665.92</v>
      </c>
      <c r="R25" s="322">
        <v>1</v>
      </c>
      <c r="S25" s="236">
        <v>7.968333333333333</v>
      </c>
      <c r="T25" s="241">
        <v>91126</v>
      </c>
      <c r="U25" s="322">
        <v>1</v>
      </c>
      <c r="V25" s="236">
        <v>9.426133333333333</v>
      </c>
      <c r="W25" s="241">
        <v>110277.64</v>
      </c>
      <c r="X25" s="322">
        <v>1</v>
      </c>
      <c r="Y25" s="243">
        <v>7.8034</v>
      </c>
      <c r="Z25" s="241">
        <v>88286.42</v>
      </c>
      <c r="AA25" s="322">
        <v>1</v>
      </c>
      <c r="AB25" s="236">
        <v>8.735599999999998</v>
      </c>
      <c r="AC25" s="241">
        <v>100748.28</v>
      </c>
      <c r="AD25" s="67"/>
      <c r="AE25" s="67"/>
      <c r="AF25" s="67"/>
      <c r="AG25" s="67"/>
      <c r="AH25" s="67"/>
      <c r="AI25" s="67"/>
      <c r="AJ25" s="67"/>
      <c r="AK25" s="67"/>
      <c r="AL25" s="70"/>
    </row>
    <row r="26" spans="1:38" s="71" customFormat="1" ht="14.25" customHeight="1">
      <c r="A26" s="234">
        <v>3</v>
      </c>
      <c r="B26" s="235" t="s">
        <v>240</v>
      </c>
      <c r="C26" s="322">
        <f t="shared" si="9"/>
        <v>8</v>
      </c>
      <c r="D26" s="236">
        <f t="shared" si="10"/>
        <v>65.93306666666666</v>
      </c>
      <c r="E26" s="241">
        <f t="shared" si="10"/>
        <v>804179.8200000001</v>
      </c>
      <c r="F26" s="324">
        <v>1</v>
      </c>
      <c r="G26" s="244">
        <v>7.0768</v>
      </c>
      <c r="H26" s="241">
        <v>78259.34</v>
      </c>
      <c r="I26" s="322">
        <v>1</v>
      </c>
      <c r="J26" s="325">
        <v>8.034799999999999</v>
      </c>
      <c r="K26" s="241">
        <v>87857.24</v>
      </c>
      <c r="L26" s="322">
        <v>1</v>
      </c>
      <c r="M26" s="236">
        <v>8.1708</v>
      </c>
      <c r="N26" s="241">
        <v>88124.04</v>
      </c>
      <c r="O26" s="322">
        <v>1</v>
      </c>
      <c r="P26" s="244">
        <v>10.5368</v>
      </c>
      <c r="Q26" s="241">
        <v>145407.84</v>
      </c>
      <c r="R26" s="322">
        <v>1</v>
      </c>
      <c r="S26" s="236">
        <v>7.9917333333333325</v>
      </c>
      <c r="T26" s="241">
        <v>110285.92</v>
      </c>
      <c r="U26" s="322">
        <v>1</v>
      </c>
      <c r="V26" s="236">
        <v>8.270933333333332</v>
      </c>
      <c r="W26" s="241">
        <v>114138.88</v>
      </c>
      <c r="X26" s="322">
        <v>1</v>
      </c>
      <c r="Y26" s="243">
        <v>7.892799999999999</v>
      </c>
      <c r="Z26" s="241">
        <v>89117.64</v>
      </c>
      <c r="AA26" s="322">
        <v>1</v>
      </c>
      <c r="AB26" s="236">
        <v>7.958399999999999</v>
      </c>
      <c r="AC26" s="241">
        <v>90988.92</v>
      </c>
      <c r="AD26" s="67"/>
      <c r="AE26" s="67"/>
      <c r="AF26" s="67"/>
      <c r="AG26" s="67"/>
      <c r="AH26" s="67"/>
      <c r="AI26" s="67"/>
      <c r="AJ26" s="67"/>
      <c r="AK26" s="67"/>
      <c r="AL26" s="70"/>
    </row>
    <row r="27" spans="1:38" s="71" customFormat="1" ht="14.25" customHeight="1">
      <c r="A27" s="234">
        <v>4</v>
      </c>
      <c r="B27" s="235" t="s">
        <v>241</v>
      </c>
      <c r="C27" s="322">
        <f t="shared" si="9"/>
        <v>8</v>
      </c>
      <c r="D27" s="236">
        <f t="shared" si="10"/>
        <v>61.412310144927524</v>
      </c>
      <c r="E27" s="241">
        <f t="shared" si="10"/>
        <v>749923.88</v>
      </c>
      <c r="F27" s="324">
        <v>1</v>
      </c>
      <c r="G27" s="244">
        <v>7.400313043478262</v>
      </c>
      <c r="H27" s="241">
        <v>82562.82</v>
      </c>
      <c r="I27" s="322">
        <v>1</v>
      </c>
      <c r="J27" s="325">
        <v>7.343472463768115</v>
      </c>
      <c r="K27" s="241">
        <v>82502.92</v>
      </c>
      <c r="L27" s="322">
        <v>1</v>
      </c>
      <c r="M27" s="236">
        <v>7.56371304347826</v>
      </c>
      <c r="N27" s="241">
        <v>83368.74</v>
      </c>
      <c r="O27" s="322">
        <v>1</v>
      </c>
      <c r="P27" s="244">
        <v>8.339733333333333</v>
      </c>
      <c r="Q27" s="241">
        <v>115088.32</v>
      </c>
      <c r="R27" s="322">
        <v>1</v>
      </c>
      <c r="S27" s="236">
        <v>8.0756</v>
      </c>
      <c r="T27" s="241">
        <v>92847.78</v>
      </c>
      <c r="U27" s="322">
        <v>1</v>
      </c>
      <c r="V27" s="236">
        <v>8.56022608695652</v>
      </c>
      <c r="W27" s="241">
        <v>98569.62</v>
      </c>
      <c r="X27" s="322">
        <v>1</v>
      </c>
      <c r="Y27" s="243">
        <v>6.843826086956521</v>
      </c>
      <c r="Z27" s="241">
        <v>94444.8</v>
      </c>
      <c r="AA27" s="322">
        <v>1</v>
      </c>
      <c r="AB27" s="236">
        <v>7.285426086956521</v>
      </c>
      <c r="AC27" s="241">
        <v>100538.88</v>
      </c>
      <c r="AD27" s="67"/>
      <c r="AE27" s="67"/>
      <c r="AF27" s="67"/>
      <c r="AG27" s="67"/>
      <c r="AH27" s="67"/>
      <c r="AI27" s="67"/>
      <c r="AJ27" s="67"/>
      <c r="AK27" s="67"/>
      <c r="AL27" s="70"/>
    </row>
    <row r="28" spans="1:38" s="71" customFormat="1" ht="14.25" customHeight="1">
      <c r="A28" s="234">
        <v>5</v>
      </c>
      <c r="B28" s="235" t="s">
        <v>242</v>
      </c>
      <c r="C28" s="322">
        <f t="shared" si="9"/>
        <v>8</v>
      </c>
      <c r="D28" s="236">
        <f t="shared" si="10"/>
        <v>66.68115942028984</v>
      </c>
      <c r="E28" s="241">
        <f t="shared" si="10"/>
        <v>829476.5</v>
      </c>
      <c r="F28" s="324">
        <v>1</v>
      </c>
      <c r="G28" s="244">
        <v>8.44</v>
      </c>
      <c r="H28" s="241">
        <v>92322</v>
      </c>
      <c r="I28" s="322">
        <v>1</v>
      </c>
      <c r="J28" s="325">
        <v>7.140933333333333</v>
      </c>
      <c r="K28" s="241">
        <v>98544.88</v>
      </c>
      <c r="L28" s="322">
        <v>1</v>
      </c>
      <c r="M28" s="236">
        <v>7.941733333333333</v>
      </c>
      <c r="N28" s="241">
        <v>90758.92</v>
      </c>
      <c r="O28" s="322">
        <v>1</v>
      </c>
      <c r="P28" s="244">
        <v>8.355599999999999</v>
      </c>
      <c r="Q28" s="241">
        <v>115307.28</v>
      </c>
      <c r="R28" s="322">
        <v>1</v>
      </c>
      <c r="S28" s="236">
        <v>7.9917333333333325</v>
      </c>
      <c r="T28" s="241">
        <v>110285.92</v>
      </c>
      <c r="U28" s="322">
        <v>1</v>
      </c>
      <c r="V28" s="236">
        <v>10.970133333333333</v>
      </c>
      <c r="W28" s="241">
        <v>125144.84</v>
      </c>
      <c r="X28" s="322">
        <v>1</v>
      </c>
      <c r="Y28" s="243">
        <v>7.28542608695652</v>
      </c>
      <c r="Z28" s="241">
        <v>100538.88</v>
      </c>
      <c r="AA28" s="322">
        <v>1</v>
      </c>
      <c r="AB28" s="236">
        <v>8.5556</v>
      </c>
      <c r="AC28" s="241">
        <v>96573.78</v>
      </c>
      <c r="AD28" s="67"/>
      <c r="AE28" s="67"/>
      <c r="AF28" s="67"/>
      <c r="AG28" s="67"/>
      <c r="AH28" s="67"/>
      <c r="AI28" s="67"/>
      <c r="AJ28" s="67"/>
      <c r="AK28" s="67"/>
      <c r="AL28" s="70"/>
    </row>
    <row r="29" spans="1:38" s="71" customFormat="1" ht="14.25" customHeight="1">
      <c r="A29" s="234">
        <v>6</v>
      </c>
      <c r="B29" s="235" t="s">
        <v>243</v>
      </c>
      <c r="C29" s="322">
        <f t="shared" si="9"/>
        <v>8</v>
      </c>
      <c r="D29" s="236">
        <f t="shared" si="10"/>
        <v>67.72284637681157</v>
      </c>
      <c r="E29" s="241">
        <f t="shared" si="10"/>
        <v>846427.78</v>
      </c>
      <c r="F29" s="324">
        <v>1</v>
      </c>
      <c r="G29" s="244">
        <v>8.7888</v>
      </c>
      <c r="H29" s="241">
        <v>96652.44</v>
      </c>
      <c r="I29" s="322">
        <v>1</v>
      </c>
      <c r="J29" s="325">
        <v>7.495646376811593</v>
      </c>
      <c r="K29" s="241">
        <v>103439.92</v>
      </c>
      <c r="L29" s="322">
        <v>1</v>
      </c>
      <c r="M29" s="236">
        <v>5.9883999999999995</v>
      </c>
      <c r="N29" s="241">
        <v>82639.92</v>
      </c>
      <c r="O29" s="322">
        <v>1</v>
      </c>
      <c r="P29" s="244">
        <v>9.339733333333331</v>
      </c>
      <c r="Q29" s="241">
        <v>128888.32</v>
      </c>
      <c r="R29" s="322">
        <v>1</v>
      </c>
      <c r="S29" s="236">
        <v>9.188933333333331</v>
      </c>
      <c r="T29" s="241">
        <v>126807.28</v>
      </c>
      <c r="U29" s="322">
        <v>1</v>
      </c>
      <c r="V29" s="236">
        <v>10.273333333333332</v>
      </c>
      <c r="W29" s="241">
        <v>117622</v>
      </c>
      <c r="X29" s="322">
        <v>1</v>
      </c>
      <c r="Y29" s="243">
        <v>8.212399999999999</v>
      </c>
      <c r="Z29" s="241">
        <v>93769.62</v>
      </c>
      <c r="AA29" s="322">
        <v>1</v>
      </c>
      <c r="AB29" s="236">
        <v>8.435599999999999</v>
      </c>
      <c r="AC29" s="241">
        <v>96608.28</v>
      </c>
      <c r="AD29" s="67"/>
      <c r="AE29" s="67"/>
      <c r="AF29" s="67"/>
      <c r="AG29" s="67"/>
      <c r="AH29" s="67"/>
      <c r="AI29" s="67"/>
      <c r="AJ29" s="67"/>
      <c r="AK29" s="67"/>
      <c r="AL29" s="70"/>
    </row>
    <row r="30" spans="1:38" s="71" customFormat="1" ht="14.25" customHeight="1">
      <c r="A30" s="234">
        <v>7</v>
      </c>
      <c r="B30" s="235" t="s">
        <v>244</v>
      </c>
      <c r="C30" s="322">
        <f t="shared" si="9"/>
        <v>8</v>
      </c>
      <c r="D30" s="236">
        <f t="shared" si="10"/>
        <v>67.90589855072463</v>
      </c>
      <c r="E30" s="241">
        <f t="shared" si="10"/>
        <v>847343.8999999999</v>
      </c>
      <c r="F30" s="324">
        <v>1</v>
      </c>
      <c r="G30" s="244">
        <v>7.474713043478261</v>
      </c>
      <c r="H30" s="241">
        <v>83348.04</v>
      </c>
      <c r="I30" s="322">
        <v>1</v>
      </c>
      <c r="J30" s="325">
        <v>8.573333333333332</v>
      </c>
      <c r="K30" s="241">
        <v>94162</v>
      </c>
      <c r="L30" s="322">
        <v>1</v>
      </c>
      <c r="M30" s="236">
        <v>6.871313043478262</v>
      </c>
      <c r="N30" s="241">
        <v>75262.62</v>
      </c>
      <c r="O30" s="322">
        <v>1</v>
      </c>
      <c r="P30" s="244">
        <v>9.24</v>
      </c>
      <c r="Q30" s="241">
        <v>127512</v>
      </c>
      <c r="R30" s="322">
        <v>1</v>
      </c>
      <c r="S30" s="236">
        <v>7.9917333333333325</v>
      </c>
      <c r="T30" s="241">
        <v>110285.92</v>
      </c>
      <c r="U30" s="322">
        <v>1</v>
      </c>
      <c r="V30" s="236">
        <v>7.804533333333333</v>
      </c>
      <c r="W30" s="241">
        <v>107702.56</v>
      </c>
      <c r="X30" s="322">
        <v>1</v>
      </c>
      <c r="Y30" s="243">
        <v>9.165646376811594</v>
      </c>
      <c r="Z30" s="241">
        <v>126485.92</v>
      </c>
      <c r="AA30" s="322">
        <v>1</v>
      </c>
      <c r="AB30" s="236">
        <v>10.784626086956521</v>
      </c>
      <c r="AC30" s="241">
        <v>122584.84</v>
      </c>
      <c r="AD30" s="67"/>
      <c r="AE30" s="67"/>
      <c r="AF30" s="67"/>
      <c r="AG30" s="67"/>
      <c r="AH30" s="67"/>
      <c r="AI30" s="67"/>
      <c r="AJ30" s="67"/>
      <c r="AK30" s="67"/>
      <c r="AL30" s="70"/>
    </row>
    <row r="31" spans="1:38" s="71" customFormat="1" ht="14.25" customHeight="1">
      <c r="A31" s="234">
        <v>8</v>
      </c>
      <c r="B31" s="235" t="s">
        <v>245</v>
      </c>
      <c r="C31" s="322">
        <f t="shared" si="9"/>
        <v>8</v>
      </c>
      <c r="D31" s="236">
        <f t="shared" si="10"/>
        <v>63.73141159420288</v>
      </c>
      <c r="E31" s="241">
        <f t="shared" si="10"/>
        <v>840346.3300000001</v>
      </c>
      <c r="F31" s="324">
        <v>1</v>
      </c>
      <c r="G31" s="244">
        <v>7.27471304347826</v>
      </c>
      <c r="H31" s="241">
        <v>80588.04</v>
      </c>
      <c r="I31" s="322">
        <v>1</v>
      </c>
      <c r="J31" s="325">
        <v>6.8217333333333325</v>
      </c>
      <c r="K31" s="241">
        <v>94139.92</v>
      </c>
      <c r="L31" s="322">
        <v>1</v>
      </c>
      <c r="M31" s="236">
        <v>7.853933333333332</v>
      </c>
      <c r="N31" s="241">
        <v>89040.13</v>
      </c>
      <c r="O31" s="322">
        <v>1</v>
      </c>
      <c r="P31" s="244">
        <v>8.152533333333333</v>
      </c>
      <c r="Q31" s="241">
        <v>112504.96</v>
      </c>
      <c r="R31" s="322">
        <v>1</v>
      </c>
      <c r="S31" s="236">
        <v>8.618759420289855</v>
      </c>
      <c r="T31" s="241">
        <v>118938.88</v>
      </c>
      <c r="U31" s="322">
        <v>1</v>
      </c>
      <c r="V31" s="236">
        <v>8.152359420289855</v>
      </c>
      <c r="W31" s="241">
        <v>112502.56</v>
      </c>
      <c r="X31" s="322">
        <v>1</v>
      </c>
      <c r="Y31" s="243">
        <v>8.865646376811593</v>
      </c>
      <c r="Z31" s="241">
        <v>122345.92</v>
      </c>
      <c r="AA31" s="322">
        <v>1</v>
      </c>
      <c r="AB31" s="236">
        <v>7.9917333333333325</v>
      </c>
      <c r="AC31" s="241">
        <v>110285.92</v>
      </c>
      <c r="AD31" s="67"/>
      <c r="AE31" s="67"/>
      <c r="AF31" s="67"/>
      <c r="AG31" s="67"/>
      <c r="AH31" s="67"/>
      <c r="AI31" s="67"/>
      <c r="AJ31" s="67"/>
      <c r="AK31" s="67"/>
      <c r="AL31" s="70"/>
    </row>
    <row r="32" spans="1:38" s="71" customFormat="1" ht="14.25" customHeight="1">
      <c r="A32" s="234">
        <v>9</v>
      </c>
      <c r="B32" s="235" t="s">
        <v>246</v>
      </c>
      <c r="C32" s="322">
        <f t="shared" si="9"/>
        <v>6</v>
      </c>
      <c r="D32" s="236">
        <f t="shared" si="10"/>
        <v>47.962759420289856</v>
      </c>
      <c r="E32" s="241">
        <f t="shared" si="10"/>
        <v>642083.0800000001</v>
      </c>
      <c r="F32" s="324"/>
      <c r="G32" s="244"/>
      <c r="H32" s="241"/>
      <c r="I32" s="322">
        <v>1</v>
      </c>
      <c r="J32" s="325">
        <v>7.314846376811594</v>
      </c>
      <c r="K32" s="241">
        <v>100944.88</v>
      </c>
      <c r="L32" s="322"/>
      <c r="M32" s="236"/>
      <c r="N32" s="241"/>
      <c r="O32" s="322">
        <v>1</v>
      </c>
      <c r="P32" s="244">
        <v>8.152533333333333</v>
      </c>
      <c r="Q32" s="241">
        <v>112504.96</v>
      </c>
      <c r="R32" s="322">
        <v>1</v>
      </c>
      <c r="S32" s="236">
        <v>8.270933333333332</v>
      </c>
      <c r="T32" s="241">
        <v>114138.88</v>
      </c>
      <c r="U32" s="322">
        <v>1</v>
      </c>
      <c r="V32" s="236">
        <v>8.5692</v>
      </c>
      <c r="W32" s="241">
        <v>118254.96</v>
      </c>
      <c r="X32" s="322">
        <v>1</v>
      </c>
      <c r="Y32" s="243">
        <v>7.66351304347826</v>
      </c>
      <c r="Z32" s="241">
        <v>85953.48</v>
      </c>
      <c r="AA32" s="322">
        <v>1</v>
      </c>
      <c r="AB32" s="236">
        <v>7.9917333333333325</v>
      </c>
      <c r="AC32" s="241">
        <v>110285.92</v>
      </c>
      <c r="AD32" s="67"/>
      <c r="AE32" s="67"/>
      <c r="AF32" s="67"/>
      <c r="AG32" s="67"/>
      <c r="AH32" s="67"/>
      <c r="AI32" s="67"/>
      <c r="AJ32" s="67"/>
      <c r="AK32" s="67"/>
      <c r="AL32" s="70"/>
    </row>
    <row r="33" spans="1:38" s="71" customFormat="1" ht="14.25" customHeight="1">
      <c r="A33" s="234">
        <v>10</v>
      </c>
      <c r="B33" s="235" t="s">
        <v>628</v>
      </c>
      <c r="C33" s="322">
        <f>+F33+I33+L33+O33+R33+U33+X33+AA33</f>
        <v>8</v>
      </c>
      <c r="D33" s="236">
        <f t="shared" si="10"/>
        <v>62.25413333333333</v>
      </c>
      <c r="E33" s="241">
        <f t="shared" si="10"/>
        <v>799617.54</v>
      </c>
      <c r="F33" s="324">
        <v>1</v>
      </c>
      <c r="G33" s="244">
        <v>8.4192</v>
      </c>
      <c r="H33" s="241">
        <v>93725.46</v>
      </c>
      <c r="I33" s="322">
        <v>1</v>
      </c>
      <c r="J33" s="325">
        <v>7.140933333333333</v>
      </c>
      <c r="K33" s="241">
        <v>98544.88</v>
      </c>
      <c r="L33" s="322">
        <v>1</v>
      </c>
      <c r="M33" s="236">
        <v>6.9883999999999995</v>
      </c>
      <c r="N33" s="241">
        <v>77602.92</v>
      </c>
      <c r="O33" s="322">
        <v>1</v>
      </c>
      <c r="P33" s="244">
        <v>7.7928</v>
      </c>
      <c r="Q33" s="241">
        <v>107540.64</v>
      </c>
      <c r="R33" s="322">
        <v>1</v>
      </c>
      <c r="S33" s="236">
        <v>7.9917333333333325</v>
      </c>
      <c r="T33" s="241">
        <v>110285.92</v>
      </c>
      <c r="U33" s="322">
        <v>1</v>
      </c>
      <c r="V33" s="236">
        <v>7.9376</v>
      </c>
      <c r="W33" s="241">
        <v>91345.88</v>
      </c>
      <c r="X33" s="322">
        <v>1</v>
      </c>
      <c r="Y33" s="243">
        <v>7.9917333333333325</v>
      </c>
      <c r="Z33" s="241">
        <v>110285.92</v>
      </c>
      <c r="AA33" s="322">
        <v>1</v>
      </c>
      <c r="AB33" s="236">
        <v>7.9917333333333325</v>
      </c>
      <c r="AC33" s="241">
        <v>110285.92</v>
      </c>
      <c r="AD33" s="67"/>
      <c r="AE33" s="67"/>
      <c r="AF33" s="67"/>
      <c r="AG33" s="67"/>
      <c r="AH33" s="67"/>
      <c r="AI33" s="67"/>
      <c r="AJ33" s="67"/>
      <c r="AK33" s="67"/>
      <c r="AL33" s="70"/>
    </row>
    <row r="34" spans="1:38" s="71" customFormat="1" ht="14.25" customHeight="1">
      <c r="A34" s="234">
        <v>11</v>
      </c>
      <c r="B34" s="235" t="s">
        <v>629</v>
      </c>
      <c r="C34" s="322">
        <f t="shared" si="9"/>
        <v>6</v>
      </c>
      <c r="D34" s="236">
        <f t="shared" si="10"/>
        <v>45.347159420289856</v>
      </c>
      <c r="E34" s="241">
        <f t="shared" si="10"/>
        <v>607597.8</v>
      </c>
      <c r="F34" s="324">
        <v>1</v>
      </c>
      <c r="G34" s="244">
        <v>6.985599999999999</v>
      </c>
      <c r="H34" s="241">
        <v>78208.28</v>
      </c>
      <c r="I34" s="322"/>
      <c r="J34" s="236"/>
      <c r="K34" s="241">
        <v>0</v>
      </c>
      <c r="L34" s="322">
        <v>1</v>
      </c>
      <c r="M34" s="236">
        <v>6.8217333333333325</v>
      </c>
      <c r="N34" s="241">
        <v>94139.92</v>
      </c>
      <c r="O34" s="322">
        <v>1</v>
      </c>
      <c r="P34" s="244">
        <v>6.937599999999999</v>
      </c>
      <c r="Q34" s="241">
        <v>95738.88</v>
      </c>
      <c r="R34" s="322"/>
      <c r="S34" s="236"/>
      <c r="T34" s="241">
        <v>0</v>
      </c>
      <c r="U34" s="322">
        <v>1</v>
      </c>
      <c r="V34" s="236">
        <v>8.618759420289855</v>
      </c>
      <c r="W34" s="241">
        <v>118938.88</v>
      </c>
      <c r="X34" s="322">
        <v>1</v>
      </c>
      <c r="Y34" s="243">
        <v>7.9917333333333325</v>
      </c>
      <c r="Z34" s="241">
        <v>110285.92</v>
      </c>
      <c r="AA34" s="322">
        <v>1</v>
      </c>
      <c r="AB34" s="236">
        <v>7.9917333333333325</v>
      </c>
      <c r="AC34" s="241">
        <v>110285.92</v>
      </c>
      <c r="AD34" s="67"/>
      <c r="AE34" s="67"/>
      <c r="AF34" s="67"/>
      <c r="AG34" s="67"/>
      <c r="AH34" s="67"/>
      <c r="AI34" s="67"/>
      <c r="AJ34" s="67"/>
      <c r="AK34" s="67"/>
      <c r="AL34" s="70"/>
    </row>
    <row r="35" spans="1:38" s="71" customFormat="1" ht="14.25" customHeight="1">
      <c r="A35" s="234">
        <v>12</v>
      </c>
      <c r="B35" s="235" t="s">
        <v>247</v>
      </c>
      <c r="C35" s="322">
        <f t="shared" si="9"/>
        <v>5</v>
      </c>
      <c r="D35" s="236">
        <f t="shared" si="10"/>
        <v>29.804</v>
      </c>
      <c r="E35" s="241">
        <f t="shared" si="10"/>
        <v>389882.19999999995</v>
      </c>
      <c r="F35" s="324"/>
      <c r="G35" s="244"/>
      <c r="H35" s="241"/>
      <c r="I35" s="322">
        <v>1</v>
      </c>
      <c r="J35" s="236">
        <v>6.9988</v>
      </c>
      <c r="K35" s="241">
        <v>75170.44</v>
      </c>
      <c r="L35" s="322">
        <v>1</v>
      </c>
      <c r="M35" s="236">
        <v>6.8217333333333325</v>
      </c>
      <c r="N35" s="241">
        <v>94139.92</v>
      </c>
      <c r="O35" s="322">
        <v>1</v>
      </c>
      <c r="P35" s="244"/>
      <c r="Q35" s="241"/>
      <c r="R35" s="322">
        <v>1</v>
      </c>
      <c r="S35" s="236">
        <v>7.9917333333333325</v>
      </c>
      <c r="T35" s="241">
        <v>110285.92</v>
      </c>
      <c r="U35" s="322"/>
      <c r="V35" s="236"/>
      <c r="W35" s="241">
        <v>0</v>
      </c>
      <c r="X35" s="322">
        <v>1</v>
      </c>
      <c r="Y35" s="243">
        <v>7.9917333333333325</v>
      </c>
      <c r="Z35" s="241">
        <v>110285.92</v>
      </c>
      <c r="AA35" s="322"/>
      <c r="AB35" s="236"/>
      <c r="AC35" s="241">
        <v>0</v>
      </c>
      <c r="AD35" s="67"/>
      <c r="AE35" s="67"/>
      <c r="AF35" s="67"/>
      <c r="AG35" s="67"/>
      <c r="AH35" s="67"/>
      <c r="AI35" s="67"/>
      <c r="AJ35" s="67"/>
      <c r="AK35" s="67"/>
      <c r="AL35" s="70"/>
    </row>
    <row r="36" spans="1:38" s="71" customFormat="1" ht="14.25" customHeight="1">
      <c r="A36" s="234">
        <v>13</v>
      </c>
      <c r="B36" s="235" t="s">
        <v>248</v>
      </c>
      <c r="C36" s="322">
        <f t="shared" si="9"/>
        <v>8</v>
      </c>
      <c r="D36" s="236">
        <f t="shared" si="10"/>
        <v>65.12169275362318</v>
      </c>
      <c r="E36" s="241">
        <f t="shared" si="10"/>
        <v>835406.36</v>
      </c>
      <c r="F36" s="324">
        <v>1</v>
      </c>
      <c r="G36" s="244">
        <v>7.323733333333332</v>
      </c>
      <c r="H36" s="241">
        <v>101067.52</v>
      </c>
      <c r="I36" s="322">
        <v>1</v>
      </c>
      <c r="J36" s="236">
        <v>7.792933333333333</v>
      </c>
      <c r="K36" s="241">
        <v>107542.48</v>
      </c>
      <c r="L36" s="322">
        <v>1</v>
      </c>
      <c r="M36" s="236">
        <v>6.9883999999999995</v>
      </c>
      <c r="N36" s="241">
        <v>77602.92</v>
      </c>
      <c r="O36" s="322">
        <v>1</v>
      </c>
      <c r="P36" s="244">
        <v>7.9917333333333325</v>
      </c>
      <c r="Q36" s="241">
        <v>110285.92</v>
      </c>
      <c r="R36" s="322">
        <v>1</v>
      </c>
      <c r="S36" s="236">
        <v>9.9008</v>
      </c>
      <c r="T36" s="241">
        <v>111998.04</v>
      </c>
      <c r="U36" s="322">
        <v>1</v>
      </c>
      <c r="V36" s="236">
        <v>8.991733333333332</v>
      </c>
      <c r="W36" s="241">
        <v>124085.92</v>
      </c>
      <c r="X36" s="322">
        <v>1</v>
      </c>
      <c r="Y36" s="243">
        <v>7.9917333333333325</v>
      </c>
      <c r="Z36" s="241">
        <v>110285.92</v>
      </c>
      <c r="AA36" s="322">
        <v>1</v>
      </c>
      <c r="AB36" s="236">
        <v>8.140626086956521</v>
      </c>
      <c r="AC36" s="241">
        <v>92537.64</v>
      </c>
      <c r="AD36" s="67"/>
      <c r="AE36" s="67"/>
      <c r="AF36" s="67"/>
      <c r="AG36" s="67"/>
      <c r="AH36" s="67"/>
      <c r="AI36" s="67"/>
      <c r="AJ36" s="67"/>
      <c r="AK36" s="67"/>
      <c r="AL36" s="70"/>
    </row>
    <row r="37" spans="1:38" s="71" customFormat="1" ht="14.25" customHeight="1">
      <c r="A37" s="234">
        <v>14</v>
      </c>
      <c r="B37" s="235" t="s">
        <v>249</v>
      </c>
      <c r="C37" s="322">
        <f>+F37+I37+L37+O37+R37+U37+X37+AA37</f>
        <v>6</v>
      </c>
      <c r="D37" s="236">
        <f>G37+J37+M37+P37+S37+V37+Y37+AB37</f>
        <v>42.50435942028986</v>
      </c>
      <c r="E37" s="241">
        <f>H37+K37+N37+Q37+T37+W37+Z37+AC37</f>
        <v>569655.16</v>
      </c>
      <c r="F37" s="324">
        <v>1</v>
      </c>
      <c r="G37" s="244">
        <v>6.223826086956522</v>
      </c>
      <c r="H37" s="241">
        <v>85888.8</v>
      </c>
      <c r="I37" s="322">
        <v>1</v>
      </c>
      <c r="J37" s="236">
        <v>6.146</v>
      </c>
      <c r="K37" s="241">
        <v>67909.8</v>
      </c>
      <c r="L37" s="322">
        <v>1</v>
      </c>
      <c r="M37" s="236">
        <v>6.8217333333333325</v>
      </c>
      <c r="N37" s="241">
        <v>94139.92</v>
      </c>
      <c r="O37" s="322"/>
      <c r="P37" s="244"/>
      <c r="Q37" s="241"/>
      <c r="R37" s="322">
        <v>1</v>
      </c>
      <c r="S37" s="236">
        <v>7.9917333333333325</v>
      </c>
      <c r="T37" s="241">
        <v>110285.92</v>
      </c>
      <c r="U37" s="322">
        <v>1</v>
      </c>
      <c r="V37" s="236">
        <v>7.3293333333333335</v>
      </c>
      <c r="W37" s="241">
        <v>101144.8</v>
      </c>
      <c r="X37" s="322"/>
      <c r="Y37" s="326"/>
      <c r="Z37" s="241">
        <v>0</v>
      </c>
      <c r="AA37" s="322">
        <v>1</v>
      </c>
      <c r="AB37" s="236">
        <v>7.9917333333333325</v>
      </c>
      <c r="AC37" s="241">
        <v>110285.92</v>
      </c>
      <c r="AD37" s="67"/>
      <c r="AE37" s="67"/>
      <c r="AF37" s="67"/>
      <c r="AG37" s="67"/>
      <c r="AH37" s="67"/>
      <c r="AI37" s="67"/>
      <c r="AJ37" s="67"/>
      <c r="AK37" s="67"/>
      <c r="AL37" s="70"/>
    </row>
    <row r="38" spans="1:38" s="73" customFormat="1" ht="14.25" customHeight="1">
      <c r="A38" s="234">
        <v>15</v>
      </c>
      <c r="B38" s="235" t="s">
        <v>630</v>
      </c>
      <c r="C38" s="322">
        <f t="shared" si="9"/>
        <v>8</v>
      </c>
      <c r="D38" s="236">
        <f t="shared" si="10"/>
        <v>60.44799999999999</v>
      </c>
      <c r="E38" s="241">
        <f t="shared" si="10"/>
        <v>834182.4000000001</v>
      </c>
      <c r="F38" s="324">
        <v>1</v>
      </c>
      <c r="G38" s="244">
        <v>7.618933333333333</v>
      </c>
      <c r="H38" s="241">
        <v>105141.28</v>
      </c>
      <c r="I38" s="322">
        <v>1</v>
      </c>
      <c r="J38" s="236">
        <v>7.140933333333333</v>
      </c>
      <c r="K38" s="241">
        <v>98544.88</v>
      </c>
      <c r="L38" s="322">
        <v>1</v>
      </c>
      <c r="M38" s="236">
        <v>5.446000000000001</v>
      </c>
      <c r="N38" s="241">
        <v>75154.8</v>
      </c>
      <c r="O38" s="322">
        <v>1</v>
      </c>
      <c r="P38" s="244">
        <v>8.270933333333332</v>
      </c>
      <c r="Q38" s="241">
        <v>114138.88</v>
      </c>
      <c r="R38" s="322">
        <v>1</v>
      </c>
      <c r="S38" s="236">
        <v>8.270933333333332</v>
      </c>
      <c r="T38" s="241">
        <v>114138.88</v>
      </c>
      <c r="U38" s="322">
        <v>1</v>
      </c>
      <c r="V38" s="236">
        <v>8.270933333333332</v>
      </c>
      <c r="W38" s="241">
        <v>114138.88</v>
      </c>
      <c r="X38" s="322">
        <v>1</v>
      </c>
      <c r="Y38" s="243">
        <v>7.9917333333333325</v>
      </c>
      <c r="Z38" s="241">
        <v>110285.92</v>
      </c>
      <c r="AA38" s="322">
        <v>1</v>
      </c>
      <c r="AB38" s="236">
        <v>7.4376</v>
      </c>
      <c r="AC38" s="241">
        <v>102638.88</v>
      </c>
      <c r="AD38" s="67"/>
      <c r="AE38" s="67"/>
      <c r="AF38" s="67"/>
      <c r="AG38" s="67"/>
      <c r="AH38" s="67"/>
      <c r="AI38" s="67"/>
      <c r="AJ38" s="67"/>
      <c r="AK38" s="67"/>
      <c r="AL38" s="72"/>
    </row>
    <row r="39" spans="1:37" s="65" customFormat="1" ht="20.25" customHeight="1">
      <c r="A39" s="12" t="s">
        <v>31</v>
      </c>
      <c r="B39" s="230" t="s">
        <v>12</v>
      </c>
      <c r="C39" s="257">
        <f aca="true" t="shared" si="11" ref="C39:AC39">SUM(C40:C58)</f>
        <v>143</v>
      </c>
      <c r="D39" s="231">
        <f t="shared" si="11"/>
        <v>165.18199999999996</v>
      </c>
      <c r="E39" s="232">
        <f t="shared" si="11"/>
        <v>2279511.6</v>
      </c>
      <c r="F39" s="228">
        <f t="shared" si="11"/>
        <v>19</v>
      </c>
      <c r="G39" s="231">
        <f t="shared" si="11"/>
        <v>21.439999999999994</v>
      </c>
      <c r="H39" s="232">
        <f t="shared" si="11"/>
        <v>295872</v>
      </c>
      <c r="I39" s="228">
        <f t="shared" si="11"/>
        <v>14</v>
      </c>
      <c r="J39" s="231">
        <f t="shared" si="11"/>
        <v>20.360000000000003</v>
      </c>
      <c r="K39" s="232">
        <f t="shared" si="11"/>
        <v>280968</v>
      </c>
      <c r="L39" s="257">
        <f t="shared" si="11"/>
        <v>19</v>
      </c>
      <c r="M39" s="231">
        <f t="shared" si="11"/>
        <v>20.029999999999998</v>
      </c>
      <c r="N39" s="232">
        <f t="shared" si="11"/>
        <v>276414</v>
      </c>
      <c r="O39" s="257">
        <f t="shared" si="11"/>
        <v>19</v>
      </c>
      <c r="P39" s="231">
        <f t="shared" si="11"/>
        <v>20.015999999999995</v>
      </c>
      <c r="Q39" s="232">
        <f t="shared" si="11"/>
        <v>276220.8</v>
      </c>
      <c r="R39" s="257">
        <f t="shared" si="11"/>
        <v>19</v>
      </c>
      <c r="S39" s="231">
        <f t="shared" si="11"/>
        <v>21.053999999999995</v>
      </c>
      <c r="T39" s="232">
        <f t="shared" si="11"/>
        <v>290545.2</v>
      </c>
      <c r="U39" s="257">
        <f t="shared" si="11"/>
        <v>19</v>
      </c>
      <c r="V39" s="231">
        <f t="shared" si="11"/>
        <v>20.359999999999996</v>
      </c>
      <c r="W39" s="232">
        <f t="shared" si="11"/>
        <v>280968</v>
      </c>
      <c r="X39" s="228">
        <f t="shared" si="11"/>
        <v>15</v>
      </c>
      <c r="Y39" s="231">
        <f t="shared" si="11"/>
        <v>20.642</v>
      </c>
      <c r="Z39" s="232">
        <f t="shared" si="11"/>
        <v>284859.6</v>
      </c>
      <c r="AA39" s="257">
        <f t="shared" si="11"/>
        <v>19</v>
      </c>
      <c r="AB39" s="233">
        <f t="shared" si="11"/>
        <v>21.279999999999998</v>
      </c>
      <c r="AC39" s="232">
        <f t="shared" si="11"/>
        <v>293664</v>
      </c>
      <c r="AD39" s="66"/>
      <c r="AE39" s="66"/>
      <c r="AF39" s="66"/>
      <c r="AG39" s="66"/>
      <c r="AH39" s="66"/>
      <c r="AI39" s="66"/>
      <c r="AJ39" s="66"/>
      <c r="AK39" s="66"/>
    </row>
    <row r="40" spans="1:38" s="71" customFormat="1" ht="14.25" customHeight="1">
      <c r="A40" s="246">
        <v>1</v>
      </c>
      <c r="B40" s="247" t="s">
        <v>631</v>
      </c>
      <c r="C40" s="327">
        <f aca="true" t="shared" si="12" ref="C40:C58">+F40+I40+L40+O40+R40+U40+X40++AA40</f>
        <v>8</v>
      </c>
      <c r="D40" s="236">
        <f aca="true" t="shared" si="13" ref="D40:E58">G40+J40+M40+P40+S40+V40+Y40++AB40</f>
        <v>19.882</v>
      </c>
      <c r="E40" s="241">
        <f t="shared" si="13"/>
        <v>274371.6</v>
      </c>
      <c r="F40" s="324">
        <v>1</v>
      </c>
      <c r="G40" s="244">
        <v>2.5759999999999996</v>
      </c>
      <c r="H40" s="241">
        <v>35548.8</v>
      </c>
      <c r="I40" s="322">
        <v>1</v>
      </c>
      <c r="J40" s="248">
        <v>2.38</v>
      </c>
      <c r="K40" s="241">
        <v>32844</v>
      </c>
      <c r="L40" s="322">
        <v>1</v>
      </c>
      <c r="M40" s="248">
        <v>2.422</v>
      </c>
      <c r="N40" s="241">
        <f aca="true" t="shared" si="14" ref="N40:N58">M40*1150*12</f>
        <v>33423.600000000006</v>
      </c>
      <c r="O40" s="322">
        <v>1</v>
      </c>
      <c r="P40" s="249">
        <v>2.408</v>
      </c>
      <c r="Q40" s="241">
        <f aca="true" t="shared" si="15" ref="Q40:Q58">P40*1150*12</f>
        <v>33230.399999999994</v>
      </c>
      <c r="R40" s="322">
        <v>1</v>
      </c>
      <c r="S40" s="248">
        <v>2.334</v>
      </c>
      <c r="T40" s="241">
        <f aca="true" t="shared" si="16" ref="T40:T58">S40*1150*12</f>
        <v>32209.199999999997</v>
      </c>
      <c r="U40" s="322">
        <v>1</v>
      </c>
      <c r="V40" s="248">
        <v>2.38</v>
      </c>
      <c r="W40" s="241">
        <f aca="true" t="shared" si="17" ref="W40:W58">V40*1150*12</f>
        <v>32844</v>
      </c>
      <c r="X40" s="322">
        <v>1</v>
      </c>
      <c r="Y40" s="250">
        <v>2.562</v>
      </c>
      <c r="Z40" s="241">
        <f aca="true" t="shared" si="18" ref="Z40:Z58">Y40*1150*12</f>
        <v>35355.6</v>
      </c>
      <c r="AA40" s="322">
        <v>1</v>
      </c>
      <c r="AB40" s="248">
        <v>2.82</v>
      </c>
      <c r="AC40" s="241">
        <f aca="true" t="shared" si="19" ref="AC40:AC58">AB40*1150*12</f>
        <v>38916</v>
      </c>
      <c r="AD40" s="67"/>
      <c r="AE40" s="67"/>
      <c r="AF40" s="67"/>
      <c r="AG40" s="67"/>
      <c r="AH40" s="67"/>
      <c r="AI40" s="67"/>
      <c r="AJ40" s="67"/>
      <c r="AK40" s="67"/>
      <c r="AL40" s="70"/>
    </row>
    <row r="41" spans="1:38" s="71" customFormat="1" ht="14.25" customHeight="1">
      <c r="A41" s="246">
        <v>2</v>
      </c>
      <c r="B41" s="247" t="s">
        <v>631</v>
      </c>
      <c r="C41" s="327">
        <f t="shared" si="12"/>
        <v>8</v>
      </c>
      <c r="D41" s="236">
        <f t="shared" si="13"/>
        <v>19.56</v>
      </c>
      <c r="E41" s="241">
        <f t="shared" si="13"/>
        <v>269928</v>
      </c>
      <c r="F41" s="324">
        <v>1</v>
      </c>
      <c r="G41" s="244">
        <v>2.4639999999999995</v>
      </c>
      <c r="H41" s="241">
        <v>34003.2</v>
      </c>
      <c r="I41" s="322">
        <v>1</v>
      </c>
      <c r="J41" s="248">
        <v>2.38</v>
      </c>
      <c r="K41" s="241">
        <v>32844</v>
      </c>
      <c r="L41" s="322">
        <v>1</v>
      </c>
      <c r="M41" s="248">
        <v>2.408</v>
      </c>
      <c r="N41" s="241">
        <f t="shared" si="14"/>
        <v>33230.399999999994</v>
      </c>
      <c r="O41" s="322">
        <v>1</v>
      </c>
      <c r="P41" s="249">
        <v>2.408</v>
      </c>
      <c r="Q41" s="241">
        <f t="shared" si="15"/>
        <v>33230.399999999994</v>
      </c>
      <c r="R41" s="322">
        <v>1</v>
      </c>
      <c r="S41" s="248">
        <v>2.32</v>
      </c>
      <c r="T41" s="241">
        <f t="shared" si="16"/>
        <v>32016</v>
      </c>
      <c r="U41" s="322">
        <v>1</v>
      </c>
      <c r="V41" s="248">
        <v>2.38</v>
      </c>
      <c r="W41" s="241">
        <f t="shared" si="17"/>
        <v>32844</v>
      </c>
      <c r="X41" s="322">
        <v>1</v>
      </c>
      <c r="Y41" s="250">
        <v>2.38</v>
      </c>
      <c r="Z41" s="241">
        <f t="shared" si="18"/>
        <v>32844</v>
      </c>
      <c r="AA41" s="322">
        <v>1</v>
      </c>
      <c r="AB41" s="248">
        <v>2.82</v>
      </c>
      <c r="AC41" s="241">
        <f t="shared" si="19"/>
        <v>38916</v>
      </c>
      <c r="AD41" s="67"/>
      <c r="AE41" s="67"/>
      <c r="AF41" s="67"/>
      <c r="AG41" s="67"/>
      <c r="AH41" s="67"/>
      <c r="AI41" s="67"/>
      <c r="AJ41" s="67"/>
      <c r="AK41" s="67"/>
      <c r="AL41" s="70"/>
    </row>
    <row r="42" spans="1:38" s="71" customFormat="1" ht="14.25" customHeight="1">
      <c r="A42" s="246">
        <v>3</v>
      </c>
      <c r="B42" s="251" t="s">
        <v>360</v>
      </c>
      <c r="C42" s="327">
        <f t="shared" si="12"/>
        <v>8</v>
      </c>
      <c r="D42" s="236">
        <f t="shared" si="13"/>
        <v>12.220000000000002</v>
      </c>
      <c r="E42" s="241">
        <f t="shared" si="13"/>
        <v>168636</v>
      </c>
      <c r="F42" s="324">
        <v>1</v>
      </c>
      <c r="G42" s="244">
        <v>1.4</v>
      </c>
      <c r="H42" s="241">
        <v>19320</v>
      </c>
      <c r="I42" s="322">
        <v>1</v>
      </c>
      <c r="J42" s="248">
        <v>1.6</v>
      </c>
      <c r="K42" s="241">
        <v>22080</v>
      </c>
      <c r="L42" s="322">
        <v>1</v>
      </c>
      <c r="M42" s="248">
        <v>1.4</v>
      </c>
      <c r="N42" s="241">
        <f t="shared" si="14"/>
        <v>19320</v>
      </c>
      <c r="O42" s="322">
        <v>1</v>
      </c>
      <c r="P42" s="249">
        <v>1.4</v>
      </c>
      <c r="Q42" s="241">
        <f t="shared" si="15"/>
        <v>19320</v>
      </c>
      <c r="R42" s="322">
        <v>1</v>
      </c>
      <c r="S42" s="248">
        <v>1.4</v>
      </c>
      <c r="T42" s="241">
        <f t="shared" si="16"/>
        <v>19320</v>
      </c>
      <c r="U42" s="322">
        <v>1</v>
      </c>
      <c r="V42" s="248">
        <v>1.4</v>
      </c>
      <c r="W42" s="241">
        <f t="shared" si="17"/>
        <v>19320</v>
      </c>
      <c r="X42" s="322">
        <v>1</v>
      </c>
      <c r="Y42" s="250">
        <v>2</v>
      </c>
      <c r="Z42" s="241">
        <f t="shared" si="18"/>
        <v>27600</v>
      </c>
      <c r="AA42" s="322">
        <v>1</v>
      </c>
      <c r="AB42" s="248">
        <v>1.62</v>
      </c>
      <c r="AC42" s="241">
        <f t="shared" si="19"/>
        <v>22356.000000000004</v>
      </c>
      <c r="AD42" s="67"/>
      <c r="AE42" s="67"/>
      <c r="AF42" s="67"/>
      <c r="AG42" s="67"/>
      <c r="AH42" s="67"/>
      <c r="AI42" s="67"/>
      <c r="AJ42" s="67"/>
      <c r="AK42" s="67"/>
      <c r="AL42" s="70"/>
    </row>
    <row r="43" spans="1:38" s="71" customFormat="1" ht="14.25" customHeight="1">
      <c r="A43" s="246">
        <v>4</v>
      </c>
      <c r="B43" s="251" t="s">
        <v>360</v>
      </c>
      <c r="C43" s="327">
        <f t="shared" si="12"/>
        <v>8</v>
      </c>
      <c r="D43" s="236">
        <f t="shared" si="13"/>
        <v>12.219999999999999</v>
      </c>
      <c r="E43" s="241">
        <f t="shared" si="13"/>
        <v>168636</v>
      </c>
      <c r="F43" s="324">
        <v>1</v>
      </c>
      <c r="G43" s="244">
        <v>1.4</v>
      </c>
      <c r="H43" s="241">
        <v>19320</v>
      </c>
      <c r="I43" s="322">
        <v>1</v>
      </c>
      <c r="J43" s="248">
        <v>1.8</v>
      </c>
      <c r="K43" s="241">
        <v>24840</v>
      </c>
      <c r="L43" s="322">
        <v>1</v>
      </c>
      <c r="M43" s="248">
        <v>1.4</v>
      </c>
      <c r="N43" s="241">
        <f t="shared" si="14"/>
        <v>19320</v>
      </c>
      <c r="O43" s="322">
        <v>1</v>
      </c>
      <c r="P43" s="249">
        <v>1.4</v>
      </c>
      <c r="Q43" s="241">
        <f t="shared" si="15"/>
        <v>19320</v>
      </c>
      <c r="R43" s="322">
        <v>1</v>
      </c>
      <c r="S43" s="248">
        <v>1.8</v>
      </c>
      <c r="T43" s="241">
        <f t="shared" si="16"/>
        <v>24840</v>
      </c>
      <c r="U43" s="322">
        <v>1</v>
      </c>
      <c r="V43" s="248">
        <v>1.4</v>
      </c>
      <c r="W43" s="241">
        <f t="shared" si="17"/>
        <v>19320</v>
      </c>
      <c r="X43" s="322">
        <v>1</v>
      </c>
      <c r="Y43" s="250">
        <v>1.4</v>
      </c>
      <c r="Z43" s="241">
        <f t="shared" si="18"/>
        <v>19320</v>
      </c>
      <c r="AA43" s="322">
        <v>1</v>
      </c>
      <c r="AB43" s="248">
        <v>1.62</v>
      </c>
      <c r="AC43" s="241">
        <f t="shared" si="19"/>
        <v>22356.000000000004</v>
      </c>
      <c r="AD43" s="67"/>
      <c r="AE43" s="67"/>
      <c r="AF43" s="67"/>
      <c r="AG43" s="67"/>
      <c r="AH43" s="67"/>
      <c r="AI43" s="67"/>
      <c r="AJ43" s="67"/>
      <c r="AK43" s="67"/>
      <c r="AL43" s="70"/>
    </row>
    <row r="44" spans="1:38" s="71" customFormat="1" ht="29.25" customHeight="1">
      <c r="A44" s="246">
        <v>5</v>
      </c>
      <c r="B44" s="252" t="s">
        <v>361</v>
      </c>
      <c r="C44" s="327">
        <f t="shared" si="12"/>
        <v>8</v>
      </c>
      <c r="D44" s="236">
        <f t="shared" si="13"/>
        <v>11.6</v>
      </c>
      <c r="E44" s="241">
        <f t="shared" si="13"/>
        <v>160080</v>
      </c>
      <c r="F44" s="324">
        <v>1</v>
      </c>
      <c r="G44" s="244">
        <v>1.4</v>
      </c>
      <c r="H44" s="241">
        <v>19320</v>
      </c>
      <c r="I44" s="322">
        <v>1</v>
      </c>
      <c r="J44" s="248">
        <v>1.4</v>
      </c>
      <c r="K44" s="241">
        <v>19320</v>
      </c>
      <c r="L44" s="322">
        <v>1</v>
      </c>
      <c r="M44" s="248">
        <v>1.4</v>
      </c>
      <c r="N44" s="241">
        <f t="shared" si="14"/>
        <v>19320</v>
      </c>
      <c r="O44" s="322">
        <v>1</v>
      </c>
      <c r="P44" s="249">
        <v>1.4</v>
      </c>
      <c r="Q44" s="241">
        <f t="shared" si="15"/>
        <v>19320</v>
      </c>
      <c r="R44" s="322">
        <v>1</v>
      </c>
      <c r="S44" s="248">
        <v>1.8</v>
      </c>
      <c r="T44" s="241">
        <f t="shared" si="16"/>
        <v>24840</v>
      </c>
      <c r="U44" s="322">
        <v>1</v>
      </c>
      <c r="V44" s="248">
        <v>1.4</v>
      </c>
      <c r="W44" s="241">
        <f t="shared" si="17"/>
        <v>19320</v>
      </c>
      <c r="X44" s="322">
        <v>1</v>
      </c>
      <c r="Y44" s="250">
        <v>1.4</v>
      </c>
      <c r="Z44" s="241">
        <f t="shared" si="18"/>
        <v>19320</v>
      </c>
      <c r="AA44" s="322">
        <v>1</v>
      </c>
      <c r="AB44" s="248">
        <v>1.4</v>
      </c>
      <c r="AC44" s="241">
        <f t="shared" si="19"/>
        <v>19320</v>
      </c>
      <c r="AD44" s="67"/>
      <c r="AE44" s="67"/>
      <c r="AF44" s="67"/>
      <c r="AG44" s="67"/>
      <c r="AH44" s="67"/>
      <c r="AI44" s="67"/>
      <c r="AJ44" s="67"/>
      <c r="AK44" s="67"/>
      <c r="AL44" s="70"/>
    </row>
    <row r="45" spans="1:38" s="71" customFormat="1" ht="14.25" customHeight="1">
      <c r="A45" s="246">
        <v>6</v>
      </c>
      <c r="B45" s="251" t="s">
        <v>362</v>
      </c>
      <c r="C45" s="327">
        <f t="shared" si="12"/>
        <v>8</v>
      </c>
      <c r="D45" s="236">
        <f t="shared" si="13"/>
        <v>10.4</v>
      </c>
      <c r="E45" s="241">
        <f t="shared" si="13"/>
        <v>143520</v>
      </c>
      <c r="F45" s="324">
        <v>1</v>
      </c>
      <c r="G45" s="244">
        <v>1.3</v>
      </c>
      <c r="H45" s="241">
        <v>17940</v>
      </c>
      <c r="I45" s="322">
        <v>1</v>
      </c>
      <c r="J45" s="248">
        <v>1.3</v>
      </c>
      <c r="K45" s="241">
        <v>17940</v>
      </c>
      <c r="L45" s="322">
        <v>1</v>
      </c>
      <c r="M45" s="248">
        <v>1.3</v>
      </c>
      <c r="N45" s="241">
        <f t="shared" si="14"/>
        <v>17940</v>
      </c>
      <c r="O45" s="322">
        <v>1</v>
      </c>
      <c r="P45" s="249">
        <v>1.3</v>
      </c>
      <c r="Q45" s="241">
        <f t="shared" si="15"/>
        <v>17940</v>
      </c>
      <c r="R45" s="322">
        <v>1</v>
      </c>
      <c r="S45" s="248">
        <v>1.3</v>
      </c>
      <c r="T45" s="241">
        <f t="shared" si="16"/>
        <v>17940</v>
      </c>
      <c r="U45" s="322">
        <v>1</v>
      </c>
      <c r="V45" s="248">
        <v>1.3</v>
      </c>
      <c r="W45" s="241">
        <f t="shared" si="17"/>
        <v>17940</v>
      </c>
      <c r="X45" s="322">
        <v>1</v>
      </c>
      <c r="Y45" s="250">
        <v>1.3</v>
      </c>
      <c r="Z45" s="241">
        <f t="shared" si="18"/>
        <v>17940</v>
      </c>
      <c r="AA45" s="322">
        <v>1</v>
      </c>
      <c r="AB45" s="248">
        <v>1.3</v>
      </c>
      <c r="AC45" s="241">
        <f t="shared" si="19"/>
        <v>17940</v>
      </c>
      <c r="AD45" s="67"/>
      <c r="AE45" s="67"/>
      <c r="AF45" s="67"/>
      <c r="AG45" s="67"/>
      <c r="AH45" s="67"/>
      <c r="AI45" s="67"/>
      <c r="AJ45" s="67"/>
      <c r="AK45" s="67"/>
      <c r="AL45" s="70"/>
    </row>
    <row r="46" spans="1:38" s="71" customFormat="1" ht="14.25" customHeight="1">
      <c r="A46" s="246">
        <v>7</v>
      </c>
      <c r="B46" s="251" t="s">
        <v>362</v>
      </c>
      <c r="C46" s="327">
        <f t="shared" si="12"/>
        <v>8</v>
      </c>
      <c r="D46" s="236">
        <f t="shared" si="13"/>
        <v>10.4</v>
      </c>
      <c r="E46" s="241">
        <f t="shared" si="13"/>
        <v>143520</v>
      </c>
      <c r="F46" s="324">
        <v>1</v>
      </c>
      <c r="G46" s="244">
        <v>1.3</v>
      </c>
      <c r="H46" s="241">
        <v>17940</v>
      </c>
      <c r="I46" s="322">
        <v>1</v>
      </c>
      <c r="J46" s="236">
        <v>1.3</v>
      </c>
      <c r="K46" s="241">
        <v>17940</v>
      </c>
      <c r="L46" s="322">
        <v>1</v>
      </c>
      <c r="M46" s="236">
        <v>1.3</v>
      </c>
      <c r="N46" s="241">
        <f t="shared" si="14"/>
        <v>17940</v>
      </c>
      <c r="O46" s="322">
        <v>1</v>
      </c>
      <c r="P46" s="244">
        <v>1.3</v>
      </c>
      <c r="Q46" s="241">
        <f t="shared" si="15"/>
        <v>17940</v>
      </c>
      <c r="R46" s="322">
        <v>1</v>
      </c>
      <c r="S46" s="236">
        <v>1.3</v>
      </c>
      <c r="T46" s="241">
        <f t="shared" si="16"/>
        <v>17940</v>
      </c>
      <c r="U46" s="322">
        <v>1</v>
      </c>
      <c r="V46" s="236">
        <v>1.3</v>
      </c>
      <c r="W46" s="241">
        <f t="shared" si="17"/>
        <v>17940</v>
      </c>
      <c r="X46" s="322">
        <v>1</v>
      </c>
      <c r="Y46" s="253">
        <v>1.3</v>
      </c>
      <c r="Z46" s="241">
        <f t="shared" si="18"/>
        <v>17940</v>
      </c>
      <c r="AA46" s="322">
        <v>1</v>
      </c>
      <c r="AB46" s="248">
        <v>1.3</v>
      </c>
      <c r="AC46" s="241">
        <f t="shared" si="19"/>
        <v>17940</v>
      </c>
      <c r="AD46" s="67"/>
      <c r="AE46" s="67"/>
      <c r="AF46" s="67"/>
      <c r="AG46" s="67"/>
      <c r="AH46" s="67"/>
      <c r="AI46" s="67"/>
      <c r="AJ46" s="67"/>
      <c r="AK46" s="67"/>
      <c r="AL46" s="70"/>
    </row>
    <row r="47" spans="1:38" s="71" customFormat="1" ht="14.25" customHeight="1">
      <c r="A47" s="246">
        <v>8</v>
      </c>
      <c r="B47" s="251" t="s">
        <v>363</v>
      </c>
      <c r="C47" s="327">
        <f t="shared" si="12"/>
        <v>8</v>
      </c>
      <c r="D47" s="236">
        <f t="shared" si="13"/>
        <v>10.1</v>
      </c>
      <c r="E47" s="241">
        <f t="shared" si="13"/>
        <v>139380</v>
      </c>
      <c r="F47" s="324">
        <v>1</v>
      </c>
      <c r="G47" s="244">
        <v>1.2</v>
      </c>
      <c r="H47" s="241">
        <v>16560</v>
      </c>
      <c r="I47" s="322">
        <v>1</v>
      </c>
      <c r="J47" s="236">
        <v>1.4</v>
      </c>
      <c r="K47" s="241">
        <v>19320</v>
      </c>
      <c r="L47" s="322">
        <v>1</v>
      </c>
      <c r="M47" s="236">
        <v>1.2</v>
      </c>
      <c r="N47" s="241">
        <f t="shared" si="14"/>
        <v>16560</v>
      </c>
      <c r="O47" s="322">
        <v>1</v>
      </c>
      <c r="P47" s="244">
        <v>1.2</v>
      </c>
      <c r="Q47" s="241">
        <f t="shared" si="15"/>
        <v>16560</v>
      </c>
      <c r="R47" s="322">
        <v>1</v>
      </c>
      <c r="S47" s="236">
        <v>1.2</v>
      </c>
      <c r="T47" s="241">
        <f t="shared" si="16"/>
        <v>16560</v>
      </c>
      <c r="U47" s="322">
        <v>1</v>
      </c>
      <c r="V47" s="236">
        <v>1.2</v>
      </c>
      <c r="W47" s="241">
        <f t="shared" si="17"/>
        <v>16560</v>
      </c>
      <c r="X47" s="322">
        <v>1</v>
      </c>
      <c r="Y47" s="253">
        <v>1.5</v>
      </c>
      <c r="Z47" s="241">
        <f t="shared" si="18"/>
        <v>20700</v>
      </c>
      <c r="AA47" s="322">
        <v>1</v>
      </c>
      <c r="AB47" s="248">
        <v>1.2</v>
      </c>
      <c r="AC47" s="241">
        <f t="shared" si="19"/>
        <v>16560</v>
      </c>
      <c r="AD47" s="67"/>
      <c r="AE47" s="67"/>
      <c r="AF47" s="67"/>
      <c r="AG47" s="67"/>
      <c r="AH47" s="67"/>
      <c r="AI47" s="67"/>
      <c r="AJ47" s="67"/>
      <c r="AK47" s="67"/>
      <c r="AL47" s="70"/>
    </row>
    <row r="48" spans="1:38" s="71" customFormat="1" ht="14.25" customHeight="1">
      <c r="A48" s="246">
        <v>9</v>
      </c>
      <c r="B48" s="251" t="s">
        <v>364</v>
      </c>
      <c r="C48" s="327">
        <f t="shared" si="12"/>
        <v>8</v>
      </c>
      <c r="D48" s="236">
        <f t="shared" si="13"/>
        <v>10.2</v>
      </c>
      <c r="E48" s="241">
        <f t="shared" si="13"/>
        <v>140760</v>
      </c>
      <c r="F48" s="324">
        <v>1</v>
      </c>
      <c r="G48" s="244">
        <v>1.6</v>
      </c>
      <c r="H48" s="241">
        <v>22080</v>
      </c>
      <c r="I48" s="322">
        <v>1</v>
      </c>
      <c r="J48" s="236">
        <v>1.4</v>
      </c>
      <c r="K48" s="241">
        <v>19320</v>
      </c>
      <c r="L48" s="322">
        <v>1</v>
      </c>
      <c r="M48" s="236">
        <v>1.2</v>
      </c>
      <c r="N48" s="241">
        <f t="shared" si="14"/>
        <v>16560</v>
      </c>
      <c r="O48" s="322">
        <v>1</v>
      </c>
      <c r="P48" s="244">
        <v>1.2</v>
      </c>
      <c r="Q48" s="241">
        <f t="shared" si="15"/>
        <v>16560</v>
      </c>
      <c r="R48" s="322">
        <v>1</v>
      </c>
      <c r="S48" s="236">
        <v>1.2</v>
      </c>
      <c r="T48" s="241">
        <f t="shared" si="16"/>
        <v>16560</v>
      </c>
      <c r="U48" s="322">
        <v>1</v>
      </c>
      <c r="V48" s="236">
        <v>1.2</v>
      </c>
      <c r="W48" s="241">
        <f t="shared" si="17"/>
        <v>16560</v>
      </c>
      <c r="X48" s="322">
        <v>1</v>
      </c>
      <c r="Y48" s="253">
        <v>1.2</v>
      </c>
      <c r="Z48" s="241">
        <f t="shared" si="18"/>
        <v>16560</v>
      </c>
      <c r="AA48" s="322">
        <v>1</v>
      </c>
      <c r="AB48" s="248">
        <v>1.2</v>
      </c>
      <c r="AC48" s="241">
        <f t="shared" si="19"/>
        <v>16560</v>
      </c>
      <c r="AD48" s="67"/>
      <c r="AE48" s="67"/>
      <c r="AF48" s="67"/>
      <c r="AG48" s="67"/>
      <c r="AH48" s="67"/>
      <c r="AI48" s="67"/>
      <c r="AJ48" s="67"/>
      <c r="AK48" s="67"/>
      <c r="AL48" s="70"/>
    </row>
    <row r="49" spans="1:38" s="71" customFormat="1" ht="14.25" customHeight="1">
      <c r="A49" s="246">
        <v>10</v>
      </c>
      <c r="B49" s="251" t="s">
        <v>365</v>
      </c>
      <c r="C49" s="327">
        <f t="shared" si="12"/>
        <v>8</v>
      </c>
      <c r="D49" s="236">
        <f t="shared" si="13"/>
        <v>8.8</v>
      </c>
      <c r="E49" s="241">
        <f t="shared" si="13"/>
        <v>121440</v>
      </c>
      <c r="F49" s="324">
        <v>1</v>
      </c>
      <c r="G49" s="244">
        <v>1.4</v>
      </c>
      <c r="H49" s="241">
        <v>19320</v>
      </c>
      <c r="I49" s="322">
        <v>1</v>
      </c>
      <c r="J49" s="236">
        <v>1</v>
      </c>
      <c r="K49" s="241">
        <v>13800</v>
      </c>
      <c r="L49" s="322">
        <v>1</v>
      </c>
      <c r="M49" s="236">
        <v>1</v>
      </c>
      <c r="N49" s="241">
        <f t="shared" si="14"/>
        <v>13800</v>
      </c>
      <c r="O49" s="322">
        <v>1</v>
      </c>
      <c r="P49" s="244">
        <v>1</v>
      </c>
      <c r="Q49" s="241">
        <f t="shared" si="15"/>
        <v>13800</v>
      </c>
      <c r="R49" s="322">
        <v>1</v>
      </c>
      <c r="S49" s="236">
        <v>1.4</v>
      </c>
      <c r="T49" s="241">
        <f t="shared" si="16"/>
        <v>19320</v>
      </c>
      <c r="U49" s="322">
        <v>1</v>
      </c>
      <c r="V49" s="236">
        <v>1</v>
      </c>
      <c r="W49" s="241">
        <f t="shared" si="17"/>
        <v>13800</v>
      </c>
      <c r="X49" s="322">
        <v>1</v>
      </c>
      <c r="Y49" s="253">
        <v>1</v>
      </c>
      <c r="Z49" s="241">
        <f t="shared" si="18"/>
        <v>13800</v>
      </c>
      <c r="AA49" s="322">
        <v>1</v>
      </c>
      <c r="AB49" s="248">
        <v>1</v>
      </c>
      <c r="AC49" s="241">
        <f t="shared" si="19"/>
        <v>13800</v>
      </c>
      <c r="AD49" s="67"/>
      <c r="AE49" s="67"/>
      <c r="AF49" s="67"/>
      <c r="AG49" s="67"/>
      <c r="AH49" s="67"/>
      <c r="AI49" s="67"/>
      <c r="AJ49" s="67"/>
      <c r="AK49" s="67"/>
      <c r="AL49" s="70"/>
    </row>
    <row r="50" spans="1:38" s="71" customFormat="1" ht="14.25" customHeight="1">
      <c r="A50" s="246">
        <v>11</v>
      </c>
      <c r="B50" s="251" t="s">
        <v>366</v>
      </c>
      <c r="C50" s="327">
        <f t="shared" si="12"/>
        <v>8</v>
      </c>
      <c r="D50" s="236">
        <f t="shared" si="13"/>
        <v>9.2</v>
      </c>
      <c r="E50" s="241">
        <f t="shared" si="13"/>
        <v>126960</v>
      </c>
      <c r="F50" s="324">
        <v>1</v>
      </c>
      <c r="G50" s="244">
        <v>1.4</v>
      </c>
      <c r="H50" s="241">
        <v>19320</v>
      </c>
      <c r="I50" s="322">
        <v>1</v>
      </c>
      <c r="J50" s="236">
        <v>1.2</v>
      </c>
      <c r="K50" s="241">
        <v>16560</v>
      </c>
      <c r="L50" s="322">
        <v>1</v>
      </c>
      <c r="M50" s="236">
        <v>1</v>
      </c>
      <c r="N50" s="241">
        <f t="shared" si="14"/>
        <v>13800</v>
      </c>
      <c r="O50" s="322">
        <v>1</v>
      </c>
      <c r="P50" s="244">
        <v>1</v>
      </c>
      <c r="Q50" s="241">
        <f t="shared" si="15"/>
        <v>13800</v>
      </c>
      <c r="R50" s="322">
        <v>1</v>
      </c>
      <c r="S50" s="236">
        <v>1</v>
      </c>
      <c r="T50" s="241">
        <f t="shared" si="16"/>
        <v>13800</v>
      </c>
      <c r="U50" s="322">
        <v>1</v>
      </c>
      <c r="V50" s="236">
        <v>1.4</v>
      </c>
      <c r="W50" s="241">
        <f t="shared" si="17"/>
        <v>19320</v>
      </c>
      <c r="X50" s="322">
        <v>1</v>
      </c>
      <c r="Y50" s="253">
        <v>1.2</v>
      </c>
      <c r="Z50" s="241">
        <f t="shared" si="18"/>
        <v>16560</v>
      </c>
      <c r="AA50" s="322">
        <v>1</v>
      </c>
      <c r="AB50" s="248">
        <v>1</v>
      </c>
      <c r="AC50" s="241">
        <f t="shared" si="19"/>
        <v>13800</v>
      </c>
      <c r="AD50" s="67"/>
      <c r="AE50" s="67"/>
      <c r="AF50" s="67"/>
      <c r="AG50" s="67"/>
      <c r="AH50" s="67"/>
      <c r="AI50" s="67"/>
      <c r="AJ50" s="67"/>
      <c r="AK50" s="67"/>
      <c r="AL50" s="70"/>
    </row>
    <row r="51" spans="1:38" s="71" customFormat="1" ht="14.25" customHeight="1">
      <c r="A51" s="246">
        <v>12</v>
      </c>
      <c r="B51" s="251" t="s">
        <v>367</v>
      </c>
      <c r="C51" s="327">
        <f t="shared" si="12"/>
        <v>8</v>
      </c>
      <c r="D51" s="236">
        <f t="shared" si="13"/>
        <v>8.4</v>
      </c>
      <c r="E51" s="241">
        <f t="shared" si="13"/>
        <v>115920</v>
      </c>
      <c r="F51" s="324">
        <v>1</v>
      </c>
      <c r="G51" s="244">
        <v>1</v>
      </c>
      <c r="H51" s="241">
        <v>13800</v>
      </c>
      <c r="I51" s="322">
        <v>1</v>
      </c>
      <c r="J51" s="236">
        <v>1.2</v>
      </c>
      <c r="K51" s="241">
        <v>16560</v>
      </c>
      <c r="L51" s="322">
        <v>1</v>
      </c>
      <c r="M51" s="236">
        <v>1</v>
      </c>
      <c r="N51" s="241">
        <f t="shared" si="14"/>
        <v>13800</v>
      </c>
      <c r="O51" s="322">
        <v>1</v>
      </c>
      <c r="P51" s="244">
        <v>1</v>
      </c>
      <c r="Q51" s="241">
        <f t="shared" si="15"/>
        <v>13800</v>
      </c>
      <c r="R51" s="322">
        <v>1</v>
      </c>
      <c r="S51" s="236">
        <v>1</v>
      </c>
      <c r="T51" s="241">
        <f t="shared" si="16"/>
        <v>13800</v>
      </c>
      <c r="U51" s="322">
        <v>1</v>
      </c>
      <c r="V51" s="236">
        <v>1</v>
      </c>
      <c r="W51" s="241">
        <f t="shared" si="17"/>
        <v>13800</v>
      </c>
      <c r="X51" s="322">
        <v>1</v>
      </c>
      <c r="Y51" s="253">
        <v>1.2</v>
      </c>
      <c r="Z51" s="241">
        <f t="shared" si="18"/>
        <v>16560</v>
      </c>
      <c r="AA51" s="322">
        <v>1</v>
      </c>
      <c r="AB51" s="248">
        <v>1</v>
      </c>
      <c r="AC51" s="241">
        <f t="shared" si="19"/>
        <v>13800</v>
      </c>
      <c r="AD51" s="67"/>
      <c r="AE51" s="67"/>
      <c r="AF51" s="67"/>
      <c r="AG51" s="67"/>
      <c r="AH51" s="67"/>
      <c r="AI51" s="67"/>
      <c r="AJ51" s="67"/>
      <c r="AK51" s="67"/>
      <c r="AL51" s="70"/>
    </row>
    <row r="52" spans="1:38" s="71" customFormat="1" ht="16.5" customHeight="1">
      <c r="A52" s="246">
        <v>13</v>
      </c>
      <c r="B52" s="251" t="s">
        <v>368</v>
      </c>
      <c r="C52" s="327">
        <f t="shared" si="12"/>
        <v>8</v>
      </c>
      <c r="D52" s="236">
        <f t="shared" si="13"/>
        <v>8</v>
      </c>
      <c r="E52" s="241">
        <f t="shared" si="13"/>
        <v>110400</v>
      </c>
      <c r="F52" s="324">
        <v>1</v>
      </c>
      <c r="G52" s="244">
        <v>1</v>
      </c>
      <c r="H52" s="241">
        <v>13800</v>
      </c>
      <c r="I52" s="322">
        <v>1</v>
      </c>
      <c r="J52" s="236">
        <v>1</v>
      </c>
      <c r="K52" s="241">
        <v>13800</v>
      </c>
      <c r="L52" s="322">
        <v>1</v>
      </c>
      <c r="M52" s="236">
        <v>1</v>
      </c>
      <c r="N52" s="241">
        <f t="shared" si="14"/>
        <v>13800</v>
      </c>
      <c r="O52" s="322">
        <v>1</v>
      </c>
      <c r="P52" s="244">
        <v>1</v>
      </c>
      <c r="Q52" s="241">
        <f t="shared" si="15"/>
        <v>13800</v>
      </c>
      <c r="R52" s="322">
        <v>1</v>
      </c>
      <c r="S52" s="236">
        <v>1</v>
      </c>
      <c r="T52" s="241">
        <f t="shared" si="16"/>
        <v>13800</v>
      </c>
      <c r="U52" s="322">
        <v>1</v>
      </c>
      <c r="V52" s="236">
        <v>1</v>
      </c>
      <c r="W52" s="241">
        <f t="shared" si="17"/>
        <v>13800</v>
      </c>
      <c r="X52" s="322">
        <v>1</v>
      </c>
      <c r="Y52" s="253">
        <v>1</v>
      </c>
      <c r="Z52" s="241">
        <f t="shared" si="18"/>
        <v>13800</v>
      </c>
      <c r="AA52" s="322">
        <v>1</v>
      </c>
      <c r="AB52" s="248">
        <v>1</v>
      </c>
      <c r="AC52" s="241">
        <f t="shared" si="19"/>
        <v>13800</v>
      </c>
      <c r="AD52" s="67"/>
      <c r="AE52" s="67"/>
      <c r="AF52" s="67"/>
      <c r="AG52" s="67"/>
      <c r="AH52" s="67"/>
      <c r="AI52" s="67"/>
      <c r="AJ52" s="67"/>
      <c r="AK52" s="67"/>
      <c r="AL52" s="70"/>
    </row>
    <row r="53" spans="1:38" s="71" customFormat="1" ht="16.5" customHeight="1">
      <c r="A53" s="246">
        <v>14</v>
      </c>
      <c r="B53" s="254" t="s">
        <v>369</v>
      </c>
      <c r="C53" s="327">
        <f t="shared" si="12"/>
        <v>8</v>
      </c>
      <c r="D53" s="236">
        <f t="shared" si="13"/>
        <v>8</v>
      </c>
      <c r="E53" s="241">
        <f t="shared" si="13"/>
        <v>110400</v>
      </c>
      <c r="F53" s="324">
        <v>1</v>
      </c>
      <c r="G53" s="244">
        <v>1</v>
      </c>
      <c r="H53" s="241">
        <v>13800</v>
      </c>
      <c r="I53" s="322">
        <v>1</v>
      </c>
      <c r="J53" s="236">
        <v>1</v>
      </c>
      <c r="K53" s="241">
        <v>13800</v>
      </c>
      <c r="L53" s="322">
        <v>1</v>
      </c>
      <c r="M53" s="236">
        <v>1</v>
      </c>
      <c r="N53" s="241">
        <f t="shared" si="14"/>
        <v>13800</v>
      </c>
      <c r="O53" s="322">
        <v>1</v>
      </c>
      <c r="P53" s="244">
        <v>1</v>
      </c>
      <c r="Q53" s="241">
        <f t="shared" si="15"/>
        <v>13800</v>
      </c>
      <c r="R53" s="322">
        <v>1</v>
      </c>
      <c r="S53" s="236">
        <v>1</v>
      </c>
      <c r="T53" s="241">
        <f t="shared" si="16"/>
        <v>13800</v>
      </c>
      <c r="U53" s="322">
        <v>1</v>
      </c>
      <c r="V53" s="236">
        <v>1</v>
      </c>
      <c r="W53" s="241">
        <f t="shared" si="17"/>
        <v>13800</v>
      </c>
      <c r="X53" s="322">
        <v>1</v>
      </c>
      <c r="Y53" s="253">
        <v>1</v>
      </c>
      <c r="Z53" s="241">
        <f t="shared" si="18"/>
        <v>13800</v>
      </c>
      <c r="AA53" s="322">
        <v>1</v>
      </c>
      <c r="AB53" s="248">
        <v>1</v>
      </c>
      <c r="AC53" s="241">
        <f t="shared" si="19"/>
        <v>13800</v>
      </c>
      <c r="AD53" s="67"/>
      <c r="AE53" s="67"/>
      <c r="AF53" s="67"/>
      <c r="AG53" s="67"/>
      <c r="AH53" s="67"/>
      <c r="AI53" s="67"/>
      <c r="AJ53" s="67"/>
      <c r="AK53" s="67"/>
      <c r="AL53" s="70"/>
    </row>
    <row r="54" spans="1:38" s="71" customFormat="1" ht="18" customHeight="1">
      <c r="A54" s="246">
        <v>15</v>
      </c>
      <c r="B54" s="252" t="s">
        <v>370</v>
      </c>
      <c r="C54" s="327">
        <f t="shared" si="12"/>
        <v>7</v>
      </c>
      <c r="D54" s="236">
        <f t="shared" si="13"/>
        <v>1.4</v>
      </c>
      <c r="E54" s="241">
        <f t="shared" si="13"/>
        <v>19320</v>
      </c>
      <c r="F54" s="324">
        <v>1</v>
      </c>
      <c r="G54" s="244">
        <v>0.2</v>
      </c>
      <c r="H54" s="241">
        <v>2760</v>
      </c>
      <c r="I54" s="322"/>
      <c r="J54" s="236"/>
      <c r="K54" s="241">
        <f>J54*1150*12</f>
        <v>0</v>
      </c>
      <c r="L54" s="322">
        <v>1</v>
      </c>
      <c r="M54" s="236">
        <v>0.2</v>
      </c>
      <c r="N54" s="241">
        <f>M54*1150*12</f>
        <v>2760</v>
      </c>
      <c r="O54" s="322">
        <v>1</v>
      </c>
      <c r="P54" s="244">
        <v>0.2</v>
      </c>
      <c r="Q54" s="241">
        <f t="shared" si="15"/>
        <v>2760</v>
      </c>
      <c r="R54" s="322">
        <v>1</v>
      </c>
      <c r="S54" s="236">
        <v>0.2</v>
      </c>
      <c r="T54" s="241">
        <f t="shared" si="16"/>
        <v>2760</v>
      </c>
      <c r="U54" s="322">
        <v>1</v>
      </c>
      <c r="V54" s="236">
        <v>0.2</v>
      </c>
      <c r="W54" s="241">
        <f t="shared" si="17"/>
        <v>2760</v>
      </c>
      <c r="X54" s="322">
        <v>1</v>
      </c>
      <c r="Y54" s="253">
        <v>0.2</v>
      </c>
      <c r="Z54" s="241">
        <f t="shared" si="18"/>
        <v>2760</v>
      </c>
      <c r="AA54" s="322">
        <v>1</v>
      </c>
      <c r="AB54" s="248">
        <v>0.2</v>
      </c>
      <c r="AC54" s="241">
        <f t="shared" si="19"/>
        <v>2760</v>
      </c>
      <c r="AD54" s="67"/>
      <c r="AE54" s="67"/>
      <c r="AF54" s="67"/>
      <c r="AG54" s="67"/>
      <c r="AH54" s="67"/>
      <c r="AI54" s="67"/>
      <c r="AJ54" s="67"/>
      <c r="AK54" s="67"/>
      <c r="AL54" s="70"/>
    </row>
    <row r="55" spans="1:38" s="71" customFormat="1" ht="17.25" customHeight="1">
      <c r="A55" s="246">
        <v>16</v>
      </c>
      <c r="B55" s="251" t="s">
        <v>371</v>
      </c>
      <c r="C55" s="327">
        <f t="shared" si="12"/>
        <v>6</v>
      </c>
      <c r="D55" s="236">
        <f t="shared" si="13"/>
        <v>1.2</v>
      </c>
      <c r="E55" s="241">
        <f t="shared" si="13"/>
        <v>16560</v>
      </c>
      <c r="F55" s="324">
        <v>1</v>
      </c>
      <c r="G55" s="244">
        <v>0.2</v>
      </c>
      <c r="H55" s="241">
        <v>2760</v>
      </c>
      <c r="I55" s="322"/>
      <c r="J55" s="236"/>
      <c r="K55" s="241">
        <f>J55*1150*12</f>
        <v>0</v>
      </c>
      <c r="L55" s="322">
        <v>1</v>
      </c>
      <c r="M55" s="236">
        <v>0.2</v>
      </c>
      <c r="N55" s="241">
        <f t="shared" si="14"/>
        <v>2760</v>
      </c>
      <c r="O55" s="322">
        <v>1</v>
      </c>
      <c r="P55" s="244">
        <v>0.2</v>
      </c>
      <c r="Q55" s="241">
        <f t="shared" si="15"/>
        <v>2760</v>
      </c>
      <c r="R55" s="322">
        <v>1</v>
      </c>
      <c r="S55" s="236">
        <v>0.2</v>
      </c>
      <c r="T55" s="241">
        <f t="shared" si="16"/>
        <v>2760</v>
      </c>
      <c r="U55" s="322">
        <v>1</v>
      </c>
      <c r="V55" s="236">
        <v>0.2</v>
      </c>
      <c r="W55" s="241">
        <f t="shared" si="17"/>
        <v>2760</v>
      </c>
      <c r="X55" s="322"/>
      <c r="Y55" s="253"/>
      <c r="Z55" s="241">
        <f t="shared" si="18"/>
        <v>0</v>
      </c>
      <c r="AA55" s="322">
        <v>1</v>
      </c>
      <c r="AB55" s="248">
        <v>0.2</v>
      </c>
      <c r="AC55" s="241">
        <f t="shared" si="19"/>
        <v>2760</v>
      </c>
      <c r="AD55" s="67"/>
      <c r="AE55" s="67"/>
      <c r="AF55" s="67"/>
      <c r="AG55" s="67"/>
      <c r="AH55" s="67"/>
      <c r="AI55" s="67"/>
      <c r="AJ55" s="67"/>
      <c r="AK55" s="67"/>
      <c r="AL55" s="70"/>
    </row>
    <row r="56" spans="1:38" s="71" customFormat="1" ht="16.5" customHeight="1">
      <c r="A56" s="246">
        <v>17</v>
      </c>
      <c r="B56" s="251" t="s">
        <v>372</v>
      </c>
      <c r="C56" s="327">
        <f t="shared" si="12"/>
        <v>6</v>
      </c>
      <c r="D56" s="236">
        <f t="shared" si="13"/>
        <v>1.2</v>
      </c>
      <c r="E56" s="241">
        <f t="shared" si="13"/>
        <v>16560</v>
      </c>
      <c r="F56" s="324">
        <v>1</v>
      </c>
      <c r="G56" s="244">
        <v>0.2</v>
      </c>
      <c r="H56" s="241">
        <v>2760</v>
      </c>
      <c r="I56" s="322"/>
      <c r="J56" s="236"/>
      <c r="K56" s="241">
        <f>J56*1150*12</f>
        <v>0</v>
      </c>
      <c r="L56" s="322">
        <v>1</v>
      </c>
      <c r="M56" s="236">
        <v>0.2</v>
      </c>
      <c r="N56" s="241">
        <f t="shared" si="14"/>
        <v>2760</v>
      </c>
      <c r="O56" s="322">
        <v>1</v>
      </c>
      <c r="P56" s="244">
        <v>0.2</v>
      </c>
      <c r="Q56" s="241">
        <f t="shared" si="15"/>
        <v>2760</v>
      </c>
      <c r="R56" s="322">
        <v>1</v>
      </c>
      <c r="S56" s="236">
        <v>0.2</v>
      </c>
      <c r="T56" s="241">
        <f t="shared" si="16"/>
        <v>2760</v>
      </c>
      <c r="U56" s="322">
        <v>1</v>
      </c>
      <c r="V56" s="236">
        <v>0.2</v>
      </c>
      <c r="W56" s="241">
        <f t="shared" si="17"/>
        <v>2760</v>
      </c>
      <c r="X56" s="322"/>
      <c r="Y56" s="253"/>
      <c r="Z56" s="241">
        <f t="shared" si="18"/>
        <v>0</v>
      </c>
      <c r="AA56" s="322">
        <v>1</v>
      </c>
      <c r="AB56" s="248">
        <v>0.2</v>
      </c>
      <c r="AC56" s="241">
        <f t="shared" si="19"/>
        <v>2760</v>
      </c>
      <c r="AD56" s="67"/>
      <c r="AE56" s="67"/>
      <c r="AF56" s="67"/>
      <c r="AG56" s="67"/>
      <c r="AH56" s="67"/>
      <c r="AI56" s="67"/>
      <c r="AJ56" s="67"/>
      <c r="AK56" s="67"/>
      <c r="AL56" s="70"/>
    </row>
    <row r="57" spans="1:38" s="71" customFormat="1" ht="16.5" customHeight="1">
      <c r="A57" s="246">
        <v>18</v>
      </c>
      <c r="B57" s="251" t="s">
        <v>373</v>
      </c>
      <c r="C57" s="327">
        <f t="shared" si="12"/>
        <v>6</v>
      </c>
      <c r="D57" s="236">
        <f t="shared" si="13"/>
        <v>1.2</v>
      </c>
      <c r="E57" s="241">
        <f t="shared" si="13"/>
        <v>16560</v>
      </c>
      <c r="F57" s="324">
        <v>1</v>
      </c>
      <c r="G57" s="244">
        <v>0.2</v>
      </c>
      <c r="H57" s="241">
        <v>2760</v>
      </c>
      <c r="I57" s="322"/>
      <c r="J57" s="242"/>
      <c r="K57" s="241">
        <f>J57*1150*12</f>
        <v>0</v>
      </c>
      <c r="L57" s="322">
        <v>1</v>
      </c>
      <c r="M57" s="242">
        <v>0.2</v>
      </c>
      <c r="N57" s="241">
        <f t="shared" si="14"/>
        <v>2760</v>
      </c>
      <c r="O57" s="322">
        <v>1</v>
      </c>
      <c r="P57" s="237">
        <v>0.2</v>
      </c>
      <c r="Q57" s="241">
        <f t="shared" si="15"/>
        <v>2760</v>
      </c>
      <c r="R57" s="322">
        <v>1</v>
      </c>
      <c r="S57" s="242">
        <v>0.2</v>
      </c>
      <c r="T57" s="241">
        <f t="shared" si="16"/>
        <v>2760</v>
      </c>
      <c r="U57" s="322">
        <v>1</v>
      </c>
      <c r="V57" s="242">
        <v>0.2</v>
      </c>
      <c r="W57" s="241">
        <f t="shared" si="17"/>
        <v>2760</v>
      </c>
      <c r="X57" s="322"/>
      <c r="Y57" s="255"/>
      <c r="Z57" s="241">
        <f t="shared" si="18"/>
        <v>0</v>
      </c>
      <c r="AA57" s="322">
        <v>1</v>
      </c>
      <c r="AB57" s="248">
        <v>0.2</v>
      </c>
      <c r="AC57" s="241">
        <f t="shared" si="19"/>
        <v>2760</v>
      </c>
      <c r="AD57" s="67"/>
      <c r="AE57" s="67"/>
      <c r="AF57" s="67"/>
      <c r="AG57" s="67"/>
      <c r="AH57" s="67"/>
      <c r="AI57" s="67"/>
      <c r="AJ57" s="67"/>
      <c r="AK57" s="67"/>
      <c r="AL57" s="70"/>
    </row>
    <row r="58" spans="1:38" s="71" customFormat="1" ht="16.5" customHeight="1">
      <c r="A58" s="246">
        <v>19</v>
      </c>
      <c r="B58" s="251" t="s">
        <v>374</v>
      </c>
      <c r="C58" s="327">
        <f t="shared" si="12"/>
        <v>6</v>
      </c>
      <c r="D58" s="236">
        <f t="shared" si="13"/>
        <v>1.2</v>
      </c>
      <c r="E58" s="241">
        <f t="shared" si="13"/>
        <v>16560</v>
      </c>
      <c r="F58" s="324">
        <v>1</v>
      </c>
      <c r="G58" s="244">
        <v>0.2</v>
      </c>
      <c r="H58" s="241">
        <v>2760</v>
      </c>
      <c r="I58" s="322"/>
      <c r="J58" s="242"/>
      <c r="K58" s="241">
        <f>J58*1150*12</f>
        <v>0</v>
      </c>
      <c r="L58" s="322">
        <v>1</v>
      </c>
      <c r="M58" s="242">
        <v>0.2</v>
      </c>
      <c r="N58" s="241">
        <f t="shared" si="14"/>
        <v>2760</v>
      </c>
      <c r="O58" s="322">
        <v>1</v>
      </c>
      <c r="P58" s="237">
        <v>0.2</v>
      </c>
      <c r="Q58" s="241">
        <f t="shared" si="15"/>
        <v>2760</v>
      </c>
      <c r="R58" s="322">
        <v>1</v>
      </c>
      <c r="S58" s="242">
        <v>0.2</v>
      </c>
      <c r="T58" s="241">
        <f t="shared" si="16"/>
        <v>2760</v>
      </c>
      <c r="U58" s="322">
        <v>1</v>
      </c>
      <c r="V58" s="242">
        <v>0.2</v>
      </c>
      <c r="W58" s="241">
        <f t="shared" si="17"/>
        <v>2760</v>
      </c>
      <c r="X58" s="322"/>
      <c r="Y58" s="255"/>
      <c r="Z58" s="241">
        <f t="shared" si="18"/>
        <v>0</v>
      </c>
      <c r="AA58" s="322">
        <v>1</v>
      </c>
      <c r="AB58" s="248">
        <v>0.2</v>
      </c>
      <c r="AC58" s="241">
        <f t="shared" si="19"/>
        <v>2760</v>
      </c>
      <c r="AD58" s="67"/>
      <c r="AE58" s="67"/>
      <c r="AF58" s="67"/>
      <c r="AG58" s="67"/>
      <c r="AH58" s="67"/>
      <c r="AI58" s="67"/>
      <c r="AJ58" s="67"/>
      <c r="AK58" s="67"/>
      <c r="AL58" s="70"/>
    </row>
    <row r="59" spans="1:37" s="65" customFormat="1" ht="22.5" customHeight="1">
      <c r="A59" s="12" t="s">
        <v>44</v>
      </c>
      <c r="B59" s="230" t="s">
        <v>250</v>
      </c>
      <c r="C59" s="257">
        <f aca="true" t="shared" si="20" ref="C59:AC59">SUM(C60:C73)</f>
        <v>1710</v>
      </c>
      <c r="D59" s="231">
        <f t="shared" si="20"/>
        <v>693.72</v>
      </c>
      <c r="E59" s="232">
        <f t="shared" si="20"/>
        <v>9573336</v>
      </c>
      <c r="F59" s="232">
        <f t="shared" si="20"/>
        <v>255</v>
      </c>
      <c r="G59" s="231">
        <f t="shared" si="20"/>
        <v>94.28999999999999</v>
      </c>
      <c r="H59" s="232">
        <f t="shared" si="20"/>
        <v>1301202</v>
      </c>
      <c r="I59" s="232">
        <f t="shared" si="20"/>
        <v>107</v>
      </c>
      <c r="J59" s="231">
        <f t="shared" si="20"/>
        <v>77.7</v>
      </c>
      <c r="K59" s="232">
        <f t="shared" si="20"/>
        <v>1072260</v>
      </c>
      <c r="L59" s="232">
        <f t="shared" si="20"/>
        <v>143</v>
      </c>
      <c r="M59" s="231">
        <f t="shared" si="20"/>
        <v>56.6</v>
      </c>
      <c r="N59" s="232">
        <f t="shared" si="20"/>
        <v>781080</v>
      </c>
      <c r="O59" s="232">
        <f t="shared" si="20"/>
        <v>217</v>
      </c>
      <c r="P59" s="231">
        <f t="shared" si="20"/>
        <v>86.40000000000002</v>
      </c>
      <c r="Q59" s="232">
        <f t="shared" si="20"/>
        <v>1192320</v>
      </c>
      <c r="R59" s="232">
        <f t="shared" si="20"/>
        <v>177</v>
      </c>
      <c r="S59" s="231">
        <f>SUM(S60:S73)</f>
        <v>69.54</v>
      </c>
      <c r="T59" s="232">
        <f t="shared" si="20"/>
        <v>959652</v>
      </c>
      <c r="U59" s="232">
        <f t="shared" si="20"/>
        <v>238</v>
      </c>
      <c r="V59" s="231">
        <f t="shared" si="20"/>
        <v>92.72000000000001</v>
      </c>
      <c r="W59" s="232">
        <f t="shared" si="20"/>
        <v>1279536</v>
      </c>
      <c r="X59" s="232">
        <f t="shared" si="20"/>
        <v>368</v>
      </c>
      <c r="Y59" s="231">
        <f t="shared" si="20"/>
        <v>136.93999999999997</v>
      </c>
      <c r="Z59" s="232">
        <f t="shared" si="20"/>
        <v>1889772</v>
      </c>
      <c r="AA59" s="232">
        <f t="shared" si="20"/>
        <v>205</v>
      </c>
      <c r="AB59" s="233">
        <f t="shared" si="20"/>
        <v>79.53</v>
      </c>
      <c r="AC59" s="232">
        <f t="shared" si="20"/>
        <v>1097514</v>
      </c>
      <c r="AD59" s="66"/>
      <c r="AE59" s="66"/>
      <c r="AF59" s="66"/>
      <c r="AG59" s="66"/>
      <c r="AH59" s="66"/>
      <c r="AI59" s="66"/>
      <c r="AJ59" s="66"/>
      <c r="AK59" s="66"/>
    </row>
    <row r="60" spans="1:38" s="69" customFormat="1" ht="14.25" customHeight="1">
      <c r="A60" s="234">
        <v>1</v>
      </c>
      <c r="B60" s="251" t="s">
        <v>251</v>
      </c>
      <c r="C60" s="327">
        <f aca="true" t="shared" si="21" ref="C60:C72">+F60+I60+L60+O60+R60+U60+X60++AA60</f>
        <v>125</v>
      </c>
      <c r="D60" s="236">
        <f aca="true" t="shared" si="22" ref="D60:E72">G60+J60+M60+P60+S60+V60+Y60++AB60</f>
        <v>104.5</v>
      </c>
      <c r="E60" s="241">
        <f t="shared" si="22"/>
        <v>1442100</v>
      </c>
      <c r="F60" s="324">
        <v>17</v>
      </c>
      <c r="G60" s="244">
        <v>13.6</v>
      </c>
      <c r="H60" s="241">
        <f aca="true" t="shared" si="23" ref="H60:H73">G60*1150*12</f>
        <v>187680</v>
      </c>
      <c r="I60" s="322">
        <v>15</v>
      </c>
      <c r="J60" s="236">
        <v>16.2</v>
      </c>
      <c r="K60" s="241">
        <f aca="true" t="shared" si="24" ref="K60:K73">J60*1150*12</f>
        <v>223560</v>
      </c>
      <c r="L60" s="322">
        <v>10</v>
      </c>
      <c r="M60" s="236">
        <v>8</v>
      </c>
      <c r="N60" s="241">
        <f aca="true" t="shared" si="25" ref="N60:N73">M60*1150*12</f>
        <v>110400</v>
      </c>
      <c r="O60" s="322">
        <v>16</v>
      </c>
      <c r="P60" s="244">
        <v>12.8</v>
      </c>
      <c r="Q60" s="241">
        <f aca="true" t="shared" si="26" ref="Q60:Q73">P60*1150*12</f>
        <v>176640</v>
      </c>
      <c r="R60" s="322">
        <v>12</v>
      </c>
      <c r="S60" s="236">
        <v>9.6</v>
      </c>
      <c r="T60" s="241">
        <f aca="true" t="shared" si="27" ref="T60:T73">S60*1150*12</f>
        <v>132480</v>
      </c>
      <c r="U60" s="322">
        <v>16</v>
      </c>
      <c r="V60" s="236">
        <v>12.8</v>
      </c>
      <c r="W60" s="241">
        <f aca="true" t="shared" si="28" ref="W60:W73">V60*1150*12</f>
        <v>176640</v>
      </c>
      <c r="X60" s="322">
        <v>25</v>
      </c>
      <c r="Y60" s="253">
        <v>20.3</v>
      </c>
      <c r="Z60" s="241">
        <f aca="true" t="shared" si="29" ref="Z60:Z73">Y60*1150*12</f>
        <v>280140</v>
      </c>
      <c r="AA60" s="322">
        <v>14</v>
      </c>
      <c r="AB60" s="236">
        <v>11.2</v>
      </c>
      <c r="AC60" s="241">
        <f aca="true" t="shared" si="30" ref="AC60:AC73">AB60*1150*12</f>
        <v>154560</v>
      </c>
      <c r="AD60" s="67"/>
      <c r="AE60" s="67"/>
      <c r="AF60" s="67"/>
      <c r="AG60" s="67"/>
      <c r="AH60" s="67"/>
      <c r="AI60" s="67"/>
      <c r="AJ60" s="67"/>
      <c r="AK60" s="67"/>
      <c r="AL60" s="68"/>
    </row>
    <row r="61" spans="1:38" s="71" customFormat="1" ht="14.25" customHeight="1">
      <c r="A61" s="234">
        <v>2</v>
      </c>
      <c r="B61" s="251" t="s">
        <v>252</v>
      </c>
      <c r="C61" s="327">
        <f t="shared" si="21"/>
        <v>127</v>
      </c>
      <c r="D61" s="236">
        <f t="shared" si="22"/>
        <v>106.70000000000002</v>
      </c>
      <c r="E61" s="241">
        <f t="shared" si="22"/>
        <v>1472460</v>
      </c>
      <c r="F61" s="324">
        <v>17</v>
      </c>
      <c r="G61" s="244">
        <v>13.6</v>
      </c>
      <c r="H61" s="241">
        <f t="shared" si="23"/>
        <v>187680</v>
      </c>
      <c r="I61" s="322">
        <v>15</v>
      </c>
      <c r="J61" s="236">
        <v>16.5</v>
      </c>
      <c r="K61" s="241">
        <f t="shared" si="24"/>
        <v>227700</v>
      </c>
      <c r="L61" s="322">
        <v>10</v>
      </c>
      <c r="M61" s="236">
        <v>8</v>
      </c>
      <c r="N61" s="241">
        <f t="shared" si="25"/>
        <v>110400</v>
      </c>
      <c r="O61" s="322">
        <v>16</v>
      </c>
      <c r="P61" s="244">
        <v>12.8</v>
      </c>
      <c r="Q61" s="241">
        <f t="shared" si="26"/>
        <v>176640</v>
      </c>
      <c r="R61" s="322">
        <v>12</v>
      </c>
      <c r="S61" s="236">
        <v>9.6</v>
      </c>
      <c r="T61" s="241">
        <f t="shared" si="27"/>
        <v>132480</v>
      </c>
      <c r="U61" s="322">
        <v>16</v>
      </c>
      <c r="V61" s="236">
        <v>12.8</v>
      </c>
      <c r="W61" s="241">
        <f t="shared" si="28"/>
        <v>176640</v>
      </c>
      <c r="X61" s="322">
        <v>27</v>
      </c>
      <c r="Y61" s="253">
        <v>22.2</v>
      </c>
      <c r="Z61" s="241">
        <f t="shared" si="29"/>
        <v>306360</v>
      </c>
      <c r="AA61" s="322">
        <v>14</v>
      </c>
      <c r="AB61" s="236">
        <v>11.2</v>
      </c>
      <c r="AC61" s="241">
        <f t="shared" si="30"/>
        <v>154560</v>
      </c>
      <c r="AD61" s="67"/>
      <c r="AE61" s="67"/>
      <c r="AF61" s="67"/>
      <c r="AG61" s="67"/>
      <c r="AH61" s="67"/>
      <c r="AI61" s="67"/>
      <c r="AJ61" s="67"/>
      <c r="AK61" s="67"/>
      <c r="AL61" s="70"/>
    </row>
    <row r="62" spans="1:38" s="71" customFormat="1" ht="14.25" customHeight="1">
      <c r="A62" s="234">
        <v>3</v>
      </c>
      <c r="B62" s="251" t="s">
        <v>254</v>
      </c>
      <c r="C62" s="327">
        <f t="shared" si="21"/>
        <v>254</v>
      </c>
      <c r="D62" s="236">
        <f t="shared" si="22"/>
        <v>133.4</v>
      </c>
      <c r="E62" s="241">
        <f t="shared" si="22"/>
        <v>1840920</v>
      </c>
      <c r="F62" s="324">
        <f>17*2</f>
        <v>34</v>
      </c>
      <c r="G62" s="244">
        <v>17</v>
      </c>
      <c r="H62" s="241">
        <f>G62*1150*12</f>
        <v>234600</v>
      </c>
      <c r="I62" s="322">
        <f>15*2</f>
        <v>30</v>
      </c>
      <c r="J62" s="236">
        <v>21</v>
      </c>
      <c r="K62" s="241">
        <f t="shared" si="24"/>
        <v>289800</v>
      </c>
      <c r="L62" s="322">
        <f>10*2</f>
        <v>20</v>
      </c>
      <c r="M62" s="236">
        <v>10</v>
      </c>
      <c r="N62" s="241">
        <f t="shared" si="25"/>
        <v>138000</v>
      </c>
      <c r="O62" s="322">
        <f>16*2</f>
        <v>32</v>
      </c>
      <c r="P62" s="244">
        <v>16</v>
      </c>
      <c r="Q62" s="241">
        <f t="shared" si="26"/>
        <v>220800</v>
      </c>
      <c r="R62" s="322">
        <v>24</v>
      </c>
      <c r="S62" s="236">
        <v>12</v>
      </c>
      <c r="T62" s="241">
        <f t="shared" si="27"/>
        <v>165600</v>
      </c>
      <c r="U62" s="322">
        <f>16*2</f>
        <v>32</v>
      </c>
      <c r="V62" s="242">
        <v>16</v>
      </c>
      <c r="W62" s="241">
        <f t="shared" si="28"/>
        <v>220800</v>
      </c>
      <c r="X62" s="322">
        <f>27*2</f>
        <v>54</v>
      </c>
      <c r="Y62" s="253">
        <v>27.75</v>
      </c>
      <c r="Z62" s="241">
        <f t="shared" si="29"/>
        <v>382950</v>
      </c>
      <c r="AA62" s="322">
        <f>14*2</f>
        <v>28</v>
      </c>
      <c r="AB62" s="236">
        <v>13.65</v>
      </c>
      <c r="AC62" s="241">
        <f t="shared" si="30"/>
        <v>188370</v>
      </c>
      <c r="AD62" s="67"/>
      <c r="AE62" s="67"/>
      <c r="AF62" s="67"/>
      <c r="AG62" s="67"/>
      <c r="AH62" s="67"/>
      <c r="AI62" s="67"/>
      <c r="AJ62" s="67"/>
      <c r="AK62" s="67"/>
      <c r="AL62" s="70"/>
    </row>
    <row r="63" spans="1:38" s="71" customFormat="1" ht="14.25" customHeight="1">
      <c r="A63" s="234">
        <v>4</v>
      </c>
      <c r="B63" s="251" t="s">
        <v>255</v>
      </c>
      <c r="C63" s="327">
        <f t="shared" si="21"/>
        <v>127</v>
      </c>
      <c r="D63" s="236">
        <f t="shared" si="22"/>
        <v>54.800000000000004</v>
      </c>
      <c r="E63" s="241">
        <f t="shared" si="22"/>
        <v>756240</v>
      </c>
      <c r="F63" s="324">
        <v>17</v>
      </c>
      <c r="G63" s="244">
        <v>8.5</v>
      </c>
      <c r="H63" s="241">
        <f>G63*1150*12</f>
        <v>117300</v>
      </c>
      <c r="I63" s="322">
        <v>15</v>
      </c>
      <c r="J63" s="236">
        <v>9.6</v>
      </c>
      <c r="K63" s="241">
        <f t="shared" si="24"/>
        <v>132480</v>
      </c>
      <c r="L63" s="322">
        <v>10</v>
      </c>
      <c r="M63" s="236">
        <v>5</v>
      </c>
      <c r="N63" s="241">
        <f t="shared" si="25"/>
        <v>69000</v>
      </c>
      <c r="O63" s="322">
        <v>16</v>
      </c>
      <c r="P63" s="244">
        <v>8</v>
      </c>
      <c r="Q63" s="241">
        <f t="shared" si="26"/>
        <v>110400</v>
      </c>
      <c r="R63" s="322">
        <v>12</v>
      </c>
      <c r="S63" s="236">
        <v>6</v>
      </c>
      <c r="T63" s="241">
        <f t="shared" si="27"/>
        <v>82800</v>
      </c>
      <c r="U63" s="322">
        <v>16</v>
      </c>
      <c r="V63" s="242">
        <v>8</v>
      </c>
      <c r="W63" s="241">
        <f t="shared" si="28"/>
        <v>110400</v>
      </c>
      <c r="X63" s="322">
        <v>27</v>
      </c>
      <c r="Y63" s="253">
        <v>2.7</v>
      </c>
      <c r="Z63" s="241">
        <f t="shared" si="29"/>
        <v>37260</v>
      </c>
      <c r="AA63" s="322">
        <v>14</v>
      </c>
      <c r="AB63" s="236">
        <v>7</v>
      </c>
      <c r="AC63" s="241">
        <f t="shared" si="30"/>
        <v>96600</v>
      </c>
      <c r="AD63" s="67"/>
      <c r="AE63" s="67"/>
      <c r="AF63" s="67"/>
      <c r="AG63" s="67"/>
      <c r="AH63" s="67"/>
      <c r="AI63" s="67"/>
      <c r="AJ63" s="67"/>
      <c r="AK63" s="67"/>
      <c r="AL63" s="70"/>
    </row>
    <row r="64" spans="1:38" s="71" customFormat="1" ht="14.25" customHeight="1">
      <c r="A64" s="234">
        <v>5</v>
      </c>
      <c r="B64" s="251" t="s">
        <v>256</v>
      </c>
      <c r="C64" s="327">
        <f t="shared" si="21"/>
        <v>112</v>
      </c>
      <c r="D64" s="236">
        <f t="shared" si="22"/>
        <v>33.6</v>
      </c>
      <c r="E64" s="241">
        <f t="shared" si="22"/>
        <v>463680</v>
      </c>
      <c r="F64" s="324">
        <v>17</v>
      </c>
      <c r="G64" s="244">
        <v>5.1</v>
      </c>
      <c r="H64" s="241">
        <f t="shared" si="23"/>
        <v>70380</v>
      </c>
      <c r="I64" s="322"/>
      <c r="J64" s="236"/>
      <c r="K64" s="241">
        <f t="shared" si="24"/>
        <v>0</v>
      </c>
      <c r="L64" s="322">
        <v>10</v>
      </c>
      <c r="M64" s="236">
        <v>3</v>
      </c>
      <c r="N64" s="241">
        <f t="shared" si="25"/>
        <v>41400</v>
      </c>
      <c r="O64" s="322">
        <v>16</v>
      </c>
      <c r="P64" s="244">
        <v>4.8</v>
      </c>
      <c r="Q64" s="241">
        <f t="shared" si="26"/>
        <v>66240</v>
      </c>
      <c r="R64" s="322">
        <v>12</v>
      </c>
      <c r="S64" s="236">
        <v>3.6</v>
      </c>
      <c r="T64" s="241">
        <f t="shared" si="27"/>
        <v>49680</v>
      </c>
      <c r="U64" s="322">
        <v>16</v>
      </c>
      <c r="V64" s="242">
        <v>4.8</v>
      </c>
      <c r="W64" s="241">
        <f t="shared" si="28"/>
        <v>66240</v>
      </c>
      <c r="X64" s="322">
        <v>27</v>
      </c>
      <c r="Y64" s="253">
        <v>8.1</v>
      </c>
      <c r="Z64" s="241">
        <f t="shared" si="29"/>
        <v>111780</v>
      </c>
      <c r="AA64" s="322">
        <v>14</v>
      </c>
      <c r="AB64" s="236">
        <v>4.2</v>
      </c>
      <c r="AC64" s="241">
        <f t="shared" si="30"/>
        <v>57960</v>
      </c>
      <c r="AD64" s="67"/>
      <c r="AE64" s="67"/>
      <c r="AF64" s="67"/>
      <c r="AG64" s="67"/>
      <c r="AH64" s="67"/>
      <c r="AI64" s="67"/>
      <c r="AJ64" s="67"/>
      <c r="AK64" s="67"/>
      <c r="AL64" s="70"/>
    </row>
    <row r="65" spans="1:38" s="71" customFormat="1" ht="14.25" customHeight="1">
      <c r="A65" s="234">
        <v>6</v>
      </c>
      <c r="B65" s="251" t="s">
        <v>257</v>
      </c>
      <c r="C65" s="327">
        <f t="shared" si="21"/>
        <v>112</v>
      </c>
      <c r="D65" s="236">
        <f t="shared" si="22"/>
        <v>33.6</v>
      </c>
      <c r="E65" s="241">
        <f t="shared" si="22"/>
        <v>463680</v>
      </c>
      <c r="F65" s="324">
        <v>17</v>
      </c>
      <c r="G65" s="244">
        <v>5.1</v>
      </c>
      <c r="H65" s="241">
        <f t="shared" si="23"/>
        <v>70380</v>
      </c>
      <c r="I65" s="322"/>
      <c r="J65" s="236"/>
      <c r="K65" s="241">
        <f t="shared" si="24"/>
        <v>0</v>
      </c>
      <c r="L65" s="322">
        <v>10</v>
      </c>
      <c r="M65" s="236">
        <v>3</v>
      </c>
      <c r="N65" s="241">
        <f t="shared" si="25"/>
        <v>41400</v>
      </c>
      <c r="O65" s="322">
        <v>16</v>
      </c>
      <c r="P65" s="244">
        <v>4.8</v>
      </c>
      <c r="Q65" s="241">
        <f t="shared" si="26"/>
        <v>66240</v>
      </c>
      <c r="R65" s="322">
        <v>12</v>
      </c>
      <c r="S65" s="236">
        <v>3.6</v>
      </c>
      <c r="T65" s="241">
        <f t="shared" si="27"/>
        <v>49680</v>
      </c>
      <c r="U65" s="322">
        <v>16</v>
      </c>
      <c r="V65" s="242">
        <v>4.8</v>
      </c>
      <c r="W65" s="241">
        <f t="shared" si="28"/>
        <v>66240</v>
      </c>
      <c r="X65" s="322">
        <v>27</v>
      </c>
      <c r="Y65" s="253">
        <v>8.1</v>
      </c>
      <c r="Z65" s="241">
        <f t="shared" si="29"/>
        <v>111780</v>
      </c>
      <c r="AA65" s="322">
        <v>14</v>
      </c>
      <c r="AB65" s="236">
        <v>4.2</v>
      </c>
      <c r="AC65" s="241">
        <f t="shared" si="30"/>
        <v>57960</v>
      </c>
      <c r="AD65" s="67"/>
      <c r="AE65" s="67"/>
      <c r="AF65" s="67"/>
      <c r="AG65" s="67"/>
      <c r="AH65" s="67"/>
      <c r="AI65" s="67"/>
      <c r="AJ65" s="67"/>
      <c r="AK65" s="67"/>
      <c r="AL65" s="70"/>
    </row>
    <row r="66" spans="1:38" s="71" customFormat="1" ht="14.25" customHeight="1">
      <c r="A66" s="234">
        <v>7</v>
      </c>
      <c r="B66" s="251" t="s">
        <v>632</v>
      </c>
      <c r="C66" s="327">
        <f t="shared" si="21"/>
        <v>127</v>
      </c>
      <c r="D66" s="236">
        <f t="shared" si="22"/>
        <v>38.1</v>
      </c>
      <c r="E66" s="241">
        <f t="shared" si="22"/>
        <v>525780</v>
      </c>
      <c r="F66" s="324">
        <v>17</v>
      </c>
      <c r="G66" s="244">
        <v>5.1</v>
      </c>
      <c r="H66" s="241">
        <f t="shared" si="23"/>
        <v>70380</v>
      </c>
      <c r="I66" s="322">
        <v>15</v>
      </c>
      <c r="J66" s="236">
        <v>4.5</v>
      </c>
      <c r="K66" s="241">
        <f t="shared" si="24"/>
        <v>62100</v>
      </c>
      <c r="L66" s="322">
        <v>10</v>
      </c>
      <c r="M66" s="236">
        <v>3</v>
      </c>
      <c r="N66" s="241">
        <f t="shared" si="25"/>
        <v>41400</v>
      </c>
      <c r="O66" s="322">
        <v>16</v>
      </c>
      <c r="P66" s="244">
        <v>4.8</v>
      </c>
      <c r="Q66" s="241">
        <f t="shared" si="26"/>
        <v>66240</v>
      </c>
      <c r="R66" s="322">
        <v>12</v>
      </c>
      <c r="S66" s="236">
        <v>3.6</v>
      </c>
      <c r="T66" s="241">
        <f t="shared" si="27"/>
        <v>49680</v>
      </c>
      <c r="U66" s="322">
        <v>16</v>
      </c>
      <c r="V66" s="242">
        <v>4.8</v>
      </c>
      <c r="W66" s="241">
        <f t="shared" si="28"/>
        <v>66240</v>
      </c>
      <c r="X66" s="322">
        <v>27</v>
      </c>
      <c r="Y66" s="253">
        <v>8.1</v>
      </c>
      <c r="Z66" s="241">
        <f t="shared" si="29"/>
        <v>111780</v>
      </c>
      <c r="AA66" s="322">
        <v>14</v>
      </c>
      <c r="AB66" s="236">
        <v>4.2</v>
      </c>
      <c r="AC66" s="241">
        <f t="shared" si="30"/>
        <v>57960</v>
      </c>
      <c r="AD66" s="67"/>
      <c r="AE66" s="67"/>
      <c r="AF66" s="67"/>
      <c r="AG66" s="67"/>
      <c r="AH66" s="67"/>
      <c r="AI66" s="67"/>
      <c r="AJ66" s="67"/>
      <c r="AK66" s="67"/>
      <c r="AL66" s="70"/>
    </row>
    <row r="67" spans="1:38" s="71" customFormat="1" ht="14.25" customHeight="1">
      <c r="A67" s="234">
        <v>8</v>
      </c>
      <c r="B67" s="251" t="s">
        <v>633</v>
      </c>
      <c r="C67" s="327">
        <f t="shared" si="21"/>
        <v>112</v>
      </c>
      <c r="D67" s="236">
        <f t="shared" si="22"/>
        <v>33.6</v>
      </c>
      <c r="E67" s="241">
        <f t="shared" si="22"/>
        <v>463680</v>
      </c>
      <c r="F67" s="324">
        <v>17</v>
      </c>
      <c r="G67" s="244">
        <v>5.1</v>
      </c>
      <c r="H67" s="241">
        <f t="shared" si="23"/>
        <v>70380</v>
      </c>
      <c r="I67" s="322"/>
      <c r="J67" s="236"/>
      <c r="K67" s="241">
        <f t="shared" si="24"/>
        <v>0</v>
      </c>
      <c r="L67" s="322">
        <v>10</v>
      </c>
      <c r="M67" s="236">
        <v>3</v>
      </c>
      <c r="N67" s="241">
        <f t="shared" si="25"/>
        <v>41400</v>
      </c>
      <c r="O67" s="322">
        <v>16</v>
      </c>
      <c r="P67" s="244">
        <v>4.8</v>
      </c>
      <c r="Q67" s="241">
        <f t="shared" si="26"/>
        <v>66240</v>
      </c>
      <c r="R67" s="322">
        <v>12</v>
      </c>
      <c r="S67" s="236">
        <v>3.6</v>
      </c>
      <c r="T67" s="241">
        <f t="shared" si="27"/>
        <v>49680</v>
      </c>
      <c r="U67" s="322">
        <v>16</v>
      </c>
      <c r="V67" s="242">
        <v>4.8</v>
      </c>
      <c r="W67" s="241">
        <f t="shared" si="28"/>
        <v>66240</v>
      </c>
      <c r="X67" s="322">
        <v>27</v>
      </c>
      <c r="Y67" s="253">
        <v>8.1</v>
      </c>
      <c r="Z67" s="241">
        <f t="shared" si="29"/>
        <v>111780</v>
      </c>
      <c r="AA67" s="322">
        <v>14</v>
      </c>
      <c r="AB67" s="236">
        <v>4.2</v>
      </c>
      <c r="AC67" s="241">
        <f t="shared" si="30"/>
        <v>57960</v>
      </c>
      <c r="AD67" s="67"/>
      <c r="AE67" s="67"/>
      <c r="AF67" s="67"/>
      <c r="AG67" s="67"/>
      <c r="AH67" s="67"/>
      <c r="AI67" s="67"/>
      <c r="AJ67" s="67"/>
      <c r="AK67" s="67"/>
      <c r="AL67" s="70"/>
    </row>
    <row r="68" spans="1:38" s="71" customFormat="1" ht="14.25" customHeight="1">
      <c r="A68" s="234">
        <v>9</v>
      </c>
      <c r="B68" s="251" t="s">
        <v>634</v>
      </c>
      <c r="C68" s="327">
        <f t="shared" si="21"/>
        <v>82</v>
      </c>
      <c r="D68" s="236">
        <f t="shared" si="22"/>
        <v>23.099999999999998</v>
      </c>
      <c r="E68" s="241">
        <f t="shared" si="22"/>
        <v>318780</v>
      </c>
      <c r="F68" s="324">
        <v>17</v>
      </c>
      <c r="G68" s="244">
        <v>4.2</v>
      </c>
      <c r="H68" s="241">
        <f t="shared" si="23"/>
        <v>57960</v>
      </c>
      <c r="I68" s="322">
        <v>2</v>
      </c>
      <c r="J68" s="236">
        <v>0.6</v>
      </c>
      <c r="K68" s="241">
        <f t="shared" si="24"/>
        <v>8280</v>
      </c>
      <c r="L68" s="322">
        <v>3</v>
      </c>
      <c r="M68" s="236">
        <v>0.9</v>
      </c>
      <c r="N68" s="241">
        <f t="shared" si="25"/>
        <v>12420</v>
      </c>
      <c r="O68" s="322">
        <v>9</v>
      </c>
      <c r="P68" s="244">
        <v>2.4</v>
      </c>
      <c r="Q68" s="241">
        <f t="shared" si="26"/>
        <v>33120</v>
      </c>
      <c r="R68" s="322">
        <v>9</v>
      </c>
      <c r="S68" s="236">
        <v>2.7</v>
      </c>
      <c r="T68" s="241">
        <f t="shared" si="27"/>
        <v>37260</v>
      </c>
      <c r="U68" s="322">
        <v>14</v>
      </c>
      <c r="V68" s="242">
        <v>4.2</v>
      </c>
      <c r="W68" s="241">
        <f t="shared" si="28"/>
        <v>57960</v>
      </c>
      <c r="X68" s="322">
        <v>19</v>
      </c>
      <c r="Y68" s="253">
        <v>5.4</v>
      </c>
      <c r="Z68" s="241">
        <f t="shared" si="29"/>
        <v>74520</v>
      </c>
      <c r="AA68" s="322">
        <v>9</v>
      </c>
      <c r="AB68" s="236">
        <v>2.7</v>
      </c>
      <c r="AC68" s="241">
        <f t="shared" si="30"/>
        <v>37260</v>
      </c>
      <c r="AD68" s="67"/>
      <c r="AE68" s="67"/>
      <c r="AF68" s="67"/>
      <c r="AG68" s="67"/>
      <c r="AH68" s="67"/>
      <c r="AI68" s="67"/>
      <c r="AJ68" s="67"/>
      <c r="AK68" s="67"/>
      <c r="AL68" s="70"/>
    </row>
    <row r="69" spans="1:38" s="71" customFormat="1" ht="14.25" customHeight="1">
      <c r="A69" s="234">
        <v>10</v>
      </c>
      <c r="B69" s="251" t="s">
        <v>376</v>
      </c>
      <c r="C69" s="327">
        <f t="shared" si="21"/>
        <v>112</v>
      </c>
      <c r="D69" s="236">
        <f t="shared" si="22"/>
        <v>16.25</v>
      </c>
      <c r="E69" s="241">
        <f t="shared" si="22"/>
        <v>224250</v>
      </c>
      <c r="F69" s="324">
        <v>17</v>
      </c>
      <c r="G69" s="244">
        <v>2.25</v>
      </c>
      <c r="H69" s="241">
        <f t="shared" si="23"/>
        <v>31050</v>
      </c>
      <c r="I69" s="322"/>
      <c r="J69" s="236"/>
      <c r="K69" s="241">
        <f t="shared" si="24"/>
        <v>0</v>
      </c>
      <c r="L69" s="322">
        <v>10</v>
      </c>
      <c r="M69" s="236">
        <v>1.5</v>
      </c>
      <c r="N69" s="241">
        <f t="shared" si="25"/>
        <v>20700</v>
      </c>
      <c r="O69" s="322">
        <v>16</v>
      </c>
      <c r="P69" s="244">
        <v>2.4</v>
      </c>
      <c r="Q69" s="241">
        <f t="shared" si="26"/>
        <v>33120</v>
      </c>
      <c r="R69" s="322">
        <v>12</v>
      </c>
      <c r="S69" s="236">
        <v>1.8</v>
      </c>
      <c r="T69" s="241">
        <f t="shared" si="27"/>
        <v>24840</v>
      </c>
      <c r="U69" s="322">
        <v>16</v>
      </c>
      <c r="V69" s="242">
        <v>3.2</v>
      </c>
      <c r="W69" s="241">
        <f t="shared" si="28"/>
        <v>44160</v>
      </c>
      <c r="X69" s="322">
        <v>27</v>
      </c>
      <c r="Y69" s="253">
        <v>3.15</v>
      </c>
      <c r="Z69" s="241">
        <f t="shared" si="29"/>
        <v>43470</v>
      </c>
      <c r="AA69" s="322">
        <v>14</v>
      </c>
      <c r="AB69" s="236">
        <v>1.95</v>
      </c>
      <c r="AC69" s="241">
        <f t="shared" si="30"/>
        <v>26910</v>
      </c>
      <c r="AD69" s="67"/>
      <c r="AE69" s="67"/>
      <c r="AF69" s="67"/>
      <c r="AG69" s="67"/>
      <c r="AH69" s="67"/>
      <c r="AI69" s="67"/>
      <c r="AJ69" s="67"/>
      <c r="AK69" s="67"/>
      <c r="AL69" s="70"/>
    </row>
    <row r="70" spans="1:38" s="71" customFormat="1" ht="14.25" customHeight="1">
      <c r="A70" s="234">
        <v>11</v>
      </c>
      <c r="B70" s="251" t="s">
        <v>374</v>
      </c>
      <c r="C70" s="327">
        <f t="shared" si="21"/>
        <v>112</v>
      </c>
      <c r="D70" s="236">
        <f t="shared" si="22"/>
        <v>13.049999999999999</v>
      </c>
      <c r="E70" s="241">
        <f t="shared" si="22"/>
        <v>180090</v>
      </c>
      <c r="F70" s="324">
        <v>17</v>
      </c>
      <c r="G70" s="244">
        <v>0.45</v>
      </c>
      <c r="H70" s="241">
        <f t="shared" si="23"/>
        <v>6210</v>
      </c>
      <c r="I70" s="322"/>
      <c r="J70" s="236"/>
      <c r="K70" s="241">
        <f t="shared" si="24"/>
        <v>0</v>
      </c>
      <c r="L70" s="322">
        <v>10</v>
      </c>
      <c r="M70" s="236">
        <v>1.5</v>
      </c>
      <c r="N70" s="241">
        <f t="shared" si="25"/>
        <v>20700</v>
      </c>
      <c r="O70" s="322">
        <v>16</v>
      </c>
      <c r="P70" s="244">
        <v>2.4</v>
      </c>
      <c r="Q70" s="241">
        <f t="shared" si="26"/>
        <v>33120</v>
      </c>
      <c r="R70" s="322">
        <v>12</v>
      </c>
      <c r="S70" s="236">
        <v>1.8</v>
      </c>
      <c r="T70" s="241">
        <f t="shared" si="27"/>
        <v>24840</v>
      </c>
      <c r="U70" s="322">
        <v>16</v>
      </c>
      <c r="V70" s="242">
        <v>2.4</v>
      </c>
      <c r="W70" s="241">
        <f t="shared" si="28"/>
        <v>33120</v>
      </c>
      <c r="X70" s="322">
        <v>27</v>
      </c>
      <c r="Y70" s="253">
        <v>2.85</v>
      </c>
      <c r="Z70" s="241">
        <f t="shared" si="29"/>
        <v>39330</v>
      </c>
      <c r="AA70" s="322">
        <v>14</v>
      </c>
      <c r="AB70" s="236">
        <v>1.65</v>
      </c>
      <c r="AC70" s="241">
        <f t="shared" si="30"/>
        <v>22770</v>
      </c>
      <c r="AD70" s="67"/>
      <c r="AE70" s="67"/>
      <c r="AF70" s="67"/>
      <c r="AG70" s="67"/>
      <c r="AH70" s="67"/>
      <c r="AI70" s="67"/>
      <c r="AJ70" s="67"/>
      <c r="AK70" s="67"/>
      <c r="AL70" s="70"/>
    </row>
    <row r="71" spans="1:38" s="71" customFormat="1" ht="21" customHeight="1">
      <c r="A71" s="234">
        <v>12</v>
      </c>
      <c r="B71" s="251" t="s">
        <v>258</v>
      </c>
      <c r="C71" s="327">
        <f t="shared" si="21"/>
        <v>127</v>
      </c>
      <c r="D71" s="236">
        <f t="shared" si="22"/>
        <v>77.57</v>
      </c>
      <c r="E71" s="241">
        <f t="shared" si="22"/>
        <v>1070466</v>
      </c>
      <c r="F71" s="324">
        <v>17</v>
      </c>
      <c r="G71" s="244">
        <v>10.54</v>
      </c>
      <c r="H71" s="241">
        <f t="shared" si="23"/>
        <v>145451.99999999997</v>
      </c>
      <c r="I71" s="322">
        <v>15</v>
      </c>
      <c r="J71" s="236">
        <v>9.3</v>
      </c>
      <c r="K71" s="241">
        <f>J71*1150*12</f>
        <v>128340</v>
      </c>
      <c r="L71" s="322">
        <v>10</v>
      </c>
      <c r="M71" s="236">
        <v>6.2</v>
      </c>
      <c r="N71" s="241">
        <f t="shared" si="25"/>
        <v>85560</v>
      </c>
      <c r="O71" s="322">
        <v>16</v>
      </c>
      <c r="P71" s="244">
        <v>8</v>
      </c>
      <c r="Q71" s="241">
        <f t="shared" si="26"/>
        <v>110400</v>
      </c>
      <c r="R71" s="322">
        <v>12</v>
      </c>
      <c r="S71" s="236">
        <v>7.44</v>
      </c>
      <c r="T71" s="241">
        <f t="shared" si="27"/>
        <v>102672</v>
      </c>
      <c r="U71" s="322">
        <v>16</v>
      </c>
      <c r="V71" s="242">
        <v>9.92</v>
      </c>
      <c r="W71" s="241">
        <f t="shared" si="28"/>
        <v>136896</v>
      </c>
      <c r="X71" s="322">
        <v>27</v>
      </c>
      <c r="Y71" s="253">
        <v>17.49</v>
      </c>
      <c r="Z71" s="241">
        <f t="shared" si="29"/>
        <v>241362</v>
      </c>
      <c r="AA71" s="322">
        <v>14</v>
      </c>
      <c r="AB71" s="236">
        <v>8.68</v>
      </c>
      <c r="AC71" s="241">
        <f t="shared" si="30"/>
        <v>119784</v>
      </c>
      <c r="AD71" s="67"/>
      <c r="AE71" s="67"/>
      <c r="AF71" s="67"/>
      <c r="AG71" s="67"/>
      <c r="AH71" s="67"/>
      <c r="AI71" s="67"/>
      <c r="AJ71" s="67"/>
      <c r="AK71" s="67"/>
      <c r="AL71" s="70"/>
    </row>
    <row r="72" spans="1:29" s="67" customFormat="1" ht="17.25" customHeight="1">
      <c r="A72" s="234">
        <v>13</v>
      </c>
      <c r="B72" s="251" t="s">
        <v>375</v>
      </c>
      <c r="C72" s="327">
        <f t="shared" si="21"/>
        <v>112</v>
      </c>
      <c r="D72" s="236">
        <f t="shared" si="22"/>
        <v>15.450000000000001</v>
      </c>
      <c r="E72" s="241">
        <f t="shared" si="22"/>
        <v>213210</v>
      </c>
      <c r="F72" s="324">
        <v>17</v>
      </c>
      <c r="G72" s="244">
        <v>2.55</v>
      </c>
      <c r="H72" s="241">
        <f t="shared" si="23"/>
        <v>35190</v>
      </c>
      <c r="I72" s="322"/>
      <c r="J72" s="236"/>
      <c r="K72" s="241">
        <f t="shared" si="24"/>
        <v>0</v>
      </c>
      <c r="L72" s="322">
        <v>10</v>
      </c>
      <c r="M72" s="236">
        <v>1.5</v>
      </c>
      <c r="N72" s="241">
        <f t="shared" si="25"/>
        <v>20700</v>
      </c>
      <c r="O72" s="322">
        <v>16</v>
      </c>
      <c r="P72" s="244">
        <v>2.4</v>
      </c>
      <c r="Q72" s="241">
        <f t="shared" si="26"/>
        <v>33120</v>
      </c>
      <c r="R72" s="322">
        <v>12</v>
      </c>
      <c r="S72" s="236">
        <v>1.8</v>
      </c>
      <c r="T72" s="241">
        <f t="shared" si="27"/>
        <v>24840</v>
      </c>
      <c r="U72" s="322">
        <v>16</v>
      </c>
      <c r="V72" s="242">
        <v>2.4</v>
      </c>
      <c r="W72" s="241">
        <f t="shared" si="28"/>
        <v>33120</v>
      </c>
      <c r="X72" s="322">
        <v>27</v>
      </c>
      <c r="Y72" s="253">
        <v>2.7</v>
      </c>
      <c r="Z72" s="241">
        <f t="shared" si="29"/>
        <v>37260</v>
      </c>
      <c r="AA72" s="322">
        <v>14</v>
      </c>
      <c r="AB72" s="236">
        <v>2.1</v>
      </c>
      <c r="AC72" s="241">
        <f t="shared" si="30"/>
        <v>28980</v>
      </c>
    </row>
    <row r="73" spans="1:29" s="67" customFormat="1" ht="21" customHeight="1">
      <c r="A73" s="234">
        <v>14</v>
      </c>
      <c r="B73" s="251" t="s">
        <v>253</v>
      </c>
      <c r="C73" s="327">
        <f>+F73+I73+L73+O73+R73+U73+X73++AA73</f>
        <v>69</v>
      </c>
      <c r="D73" s="236">
        <f>G73+J73+M73+P73+S73+V73+Y73++AB73</f>
        <v>10</v>
      </c>
      <c r="E73" s="241">
        <f>H73+K73+N73+Q73+T73+W73+Z73++AC73</f>
        <v>138000</v>
      </c>
      <c r="F73" s="324">
        <v>17</v>
      </c>
      <c r="G73" s="244">
        <v>1.2</v>
      </c>
      <c r="H73" s="241">
        <f t="shared" si="23"/>
        <v>16560</v>
      </c>
      <c r="I73" s="322"/>
      <c r="J73" s="236"/>
      <c r="K73" s="241">
        <f t="shared" si="24"/>
        <v>0</v>
      </c>
      <c r="L73" s="322">
        <v>10</v>
      </c>
      <c r="M73" s="236">
        <v>2</v>
      </c>
      <c r="N73" s="241">
        <f t="shared" si="25"/>
        <v>27600</v>
      </c>
      <c r="O73" s="322"/>
      <c r="P73" s="244"/>
      <c r="Q73" s="241">
        <f t="shared" si="26"/>
        <v>0</v>
      </c>
      <c r="R73" s="322">
        <v>12</v>
      </c>
      <c r="S73" s="236">
        <v>2.4</v>
      </c>
      <c r="T73" s="241">
        <f t="shared" si="27"/>
        <v>33120</v>
      </c>
      <c r="U73" s="322">
        <v>16</v>
      </c>
      <c r="V73" s="242">
        <v>1.8</v>
      </c>
      <c r="W73" s="241">
        <f t="shared" si="28"/>
        <v>24840</v>
      </c>
      <c r="X73" s="322"/>
      <c r="Y73" s="253"/>
      <c r="Z73" s="241">
        <f t="shared" si="29"/>
        <v>0</v>
      </c>
      <c r="AA73" s="322">
        <v>14</v>
      </c>
      <c r="AB73" s="236">
        <v>2.6</v>
      </c>
      <c r="AC73" s="241">
        <f t="shared" si="30"/>
        <v>35880</v>
      </c>
    </row>
    <row r="74" spans="1:37" s="65" customFormat="1" ht="19.5" customHeight="1">
      <c r="A74" s="12" t="s">
        <v>46</v>
      </c>
      <c r="B74" s="230" t="s">
        <v>13</v>
      </c>
      <c r="C74" s="257">
        <f>SUM(C75:C83)</f>
        <v>105</v>
      </c>
      <c r="D74" s="231">
        <f>G74+J74+M74+P74+S74+V74+Y74+AB74</f>
        <v>16.5</v>
      </c>
      <c r="E74" s="232">
        <f aca="true" t="shared" si="31" ref="E74:AC74">SUM(E75:E83)</f>
        <v>227700</v>
      </c>
      <c r="F74" s="228">
        <f t="shared" si="31"/>
        <v>17</v>
      </c>
      <c r="G74" s="231">
        <f t="shared" si="31"/>
        <v>2.5600000000000005</v>
      </c>
      <c r="H74" s="232">
        <f t="shared" si="31"/>
        <v>35328</v>
      </c>
      <c r="I74" s="228">
        <f>SUM(I75:I83)</f>
        <v>11</v>
      </c>
      <c r="J74" s="231">
        <f t="shared" si="31"/>
        <v>1.72</v>
      </c>
      <c r="K74" s="232">
        <f t="shared" si="31"/>
        <v>23736</v>
      </c>
      <c r="L74" s="257">
        <f t="shared" si="31"/>
        <v>10</v>
      </c>
      <c r="M74" s="231">
        <f t="shared" si="31"/>
        <v>1.78</v>
      </c>
      <c r="N74" s="232">
        <f t="shared" si="31"/>
        <v>24564</v>
      </c>
      <c r="O74" s="257">
        <f t="shared" si="31"/>
        <v>17</v>
      </c>
      <c r="P74" s="231">
        <f t="shared" si="31"/>
        <v>2.5600000000000005</v>
      </c>
      <c r="Q74" s="232">
        <f t="shared" si="31"/>
        <v>35328</v>
      </c>
      <c r="R74" s="257">
        <f t="shared" si="31"/>
        <v>8</v>
      </c>
      <c r="S74" s="231">
        <f t="shared" si="31"/>
        <v>1.42</v>
      </c>
      <c r="T74" s="232">
        <f t="shared" si="31"/>
        <v>19596</v>
      </c>
      <c r="U74" s="257">
        <f t="shared" si="31"/>
        <v>12</v>
      </c>
      <c r="V74" s="231">
        <f t="shared" si="31"/>
        <v>1.8399999999999999</v>
      </c>
      <c r="W74" s="232">
        <f t="shared" si="31"/>
        <v>25392</v>
      </c>
      <c r="X74" s="228">
        <f t="shared" si="31"/>
        <v>13</v>
      </c>
      <c r="Y74" s="231">
        <f t="shared" si="31"/>
        <v>2.06</v>
      </c>
      <c r="Z74" s="232">
        <f t="shared" si="31"/>
        <v>28428</v>
      </c>
      <c r="AA74" s="257">
        <f t="shared" si="31"/>
        <v>17</v>
      </c>
      <c r="AB74" s="233">
        <f t="shared" si="31"/>
        <v>2.5600000000000005</v>
      </c>
      <c r="AC74" s="232">
        <f t="shared" si="31"/>
        <v>35328</v>
      </c>
      <c r="AD74" s="66"/>
      <c r="AE74" s="66"/>
      <c r="AF74" s="66"/>
      <c r="AG74" s="66"/>
      <c r="AH74" s="66"/>
      <c r="AI74" s="66"/>
      <c r="AJ74" s="66"/>
      <c r="AK74" s="66"/>
    </row>
    <row r="75" spans="1:38" s="69" customFormat="1" ht="21" customHeight="1">
      <c r="A75" s="234">
        <v>1</v>
      </c>
      <c r="B75" s="256" t="s">
        <v>259</v>
      </c>
      <c r="C75" s="322">
        <f aca="true" t="shared" si="32" ref="C75:C83">+F75+I75+L75+O75+R75+U75+X75+AA75</f>
        <v>17</v>
      </c>
      <c r="D75" s="236">
        <f>G75+J75+M75+P75+S75+V75+Y75+AB75</f>
        <v>4.08</v>
      </c>
      <c r="E75" s="241">
        <f>H75+K75+N75+Q75+T75+W75+Z75+AC75</f>
        <v>56304</v>
      </c>
      <c r="F75" s="324">
        <v>2</v>
      </c>
      <c r="G75" s="244">
        <f>0.24*F75</f>
        <v>0.48</v>
      </c>
      <c r="H75" s="241">
        <f aca="true" t="shared" si="33" ref="H75:H83">G75*1150*12</f>
        <v>6624</v>
      </c>
      <c r="I75" s="324">
        <v>2</v>
      </c>
      <c r="J75" s="236">
        <f>0.24*I75</f>
        <v>0.48</v>
      </c>
      <c r="K75" s="241">
        <f aca="true" t="shared" si="34" ref="K75:K83">J75*1150*12</f>
        <v>6624</v>
      </c>
      <c r="L75" s="322">
        <v>3</v>
      </c>
      <c r="M75" s="236">
        <f>0.24*L75</f>
        <v>0.72</v>
      </c>
      <c r="N75" s="241">
        <f aca="true" t="shared" si="35" ref="N75:N83">M75*1150*12</f>
        <v>9936</v>
      </c>
      <c r="O75" s="322">
        <v>2</v>
      </c>
      <c r="P75" s="244">
        <f>0.24*O75</f>
        <v>0.48</v>
      </c>
      <c r="Q75" s="241">
        <f aca="true" t="shared" si="36" ref="Q75:Q83">P75*1150*12</f>
        <v>6624</v>
      </c>
      <c r="R75" s="322">
        <v>2</v>
      </c>
      <c r="S75" s="236">
        <f>0.24*R75</f>
        <v>0.48</v>
      </c>
      <c r="T75" s="241">
        <f aca="true" t="shared" si="37" ref="T75:T83">S75*1150*12</f>
        <v>6624</v>
      </c>
      <c r="U75" s="322">
        <v>2</v>
      </c>
      <c r="V75" s="236">
        <f>0.24*U75</f>
        <v>0.48</v>
      </c>
      <c r="W75" s="241">
        <f aca="true" t="shared" si="38" ref="W75:W83">V75*1150*12</f>
        <v>6624</v>
      </c>
      <c r="X75" s="322">
        <v>2</v>
      </c>
      <c r="Y75" s="253">
        <f>0.24*X75</f>
        <v>0.48</v>
      </c>
      <c r="Z75" s="241">
        <f aca="true" t="shared" si="39" ref="Z75:Z83">Y75*1150*12</f>
        <v>6624</v>
      </c>
      <c r="AA75" s="322">
        <v>2</v>
      </c>
      <c r="AB75" s="236">
        <f>0.24*AA75</f>
        <v>0.48</v>
      </c>
      <c r="AC75" s="241">
        <f aca="true" t="shared" si="40" ref="AC75:AC83">AB75*1150*12</f>
        <v>6624</v>
      </c>
      <c r="AD75" s="67"/>
      <c r="AE75" s="67"/>
      <c r="AF75" s="67"/>
      <c r="AG75" s="67"/>
      <c r="AH75" s="67"/>
      <c r="AI75" s="67"/>
      <c r="AJ75" s="67"/>
      <c r="AK75" s="67"/>
      <c r="AL75" s="68"/>
    </row>
    <row r="76" spans="1:38" s="71" customFormat="1" ht="22.5" customHeight="1">
      <c r="A76" s="234">
        <v>2</v>
      </c>
      <c r="B76" s="256" t="s">
        <v>260</v>
      </c>
      <c r="C76" s="322">
        <f t="shared" si="32"/>
        <v>20</v>
      </c>
      <c r="D76" s="236">
        <f aca="true" t="shared" si="41" ref="D76:E83">G76+J76+M76+P76+S76+V76+Y76+AB76</f>
        <v>4.4</v>
      </c>
      <c r="E76" s="241">
        <f>H76+K76+N76+Q76+T76+W76+Z76+AC76</f>
        <v>60720</v>
      </c>
      <c r="F76" s="324">
        <v>3</v>
      </c>
      <c r="G76" s="244">
        <f>0.22*F76</f>
        <v>0.66</v>
      </c>
      <c r="H76" s="241">
        <f t="shared" si="33"/>
        <v>9108</v>
      </c>
      <c r="I76" s="324">
        <v>2</v>
      </c>
      <c r="J76" s="236">
        <f>0.22*I76</f>
        <v>0.44</v>
      </c>
      <c r="K76" s="241">
        <f t="shared" si="34"/>
        <v>6072</v>
      </c>
      <c r="L76" s="322">
        <v>2</v>
      </c>
      <c r="M76" s="236">
        <f>0.22*L76</f>
        <v>0.44</v>
      </c>
      <c r="N76" s="241">
        <f t="shared" si="35"/>
        <v>6072</v>
      </c>
      <c r="O76" s="322">
        <v>3</v>
      </c>
      <c r="P76" s="244">
        <f>0.22*O76</f>
        <v>0.66</v>
      </c>
      <c r="Q76" s="241">
        <f t="shared" si="36"/>
        <v>9108</v>
      </c>
      <c r="R76" s="322">
        <v>2</v>
      </c>
      <c r="S76" s="236">
        <f>0.22*R76</f>
        <v>0.44</v>
      </c>
      <c r="T76" s="241">
        <f t="shared" si="37"/>
        <v>6072</v>
      </c>
      <c r="U76" s="322">
        <v>2</v>
      </c>
      <c r="V76" s="236">
        <f>0.22*U76</f>
        <v>0.44</v>
      </c>
      <c r="W76" s="241">
        <f t="shared" si="38"/>
        <v>6072</v>
      </c>
      <c r="X76" s="322">
        <v>3</v>
      </c>
      <c r="Y76" s="253">
        <f>0.22*X76</f>
        <v>0.66</v>
      </c>
      <c r="Z76" s="241">
        <f t="shared" si="39"/>
        <v>9108</v>
      </c>
      <c r="AA76" s="322">
        <v>3</v>
      </c>
      <c r="AB76" s="236">
        <f>0.22*AA76</f>
        <v>0.66</v>
      </c>
      <c r="AC76" s="241">
        <f t="shared" si="40"/>
        <v>9108</v>
      </c>
      <c r="AD76" s="67"/>
      <c r="AE76" s="67"/>
      <c r="AF76" s="67"/>
      <c r="AG76" s="67"/>
      <c r="AH76" s="67"/>
      <c r="AI76" s="67"/>
      <c r="AJ76" s="67"/>
      <c r="AK76" s="67"/>
      <c r="AL76" s="70"/>
    </row>
    <row r="77" spans="1:38" s="71" customFormat="1" ht="21.75" customHeight="1">
      <c r="A77" s="234">
        <v>3</v>
      </c>
      <c r="B77" s="256" t="s">
        <v>261</v>
      </c>
      <c r="C77" s="322">
        <f t="shared" si="32"/>
        <v>8</v>
      </c>
      <c r="D77" s="236">
        <f t="shared" si="41"/>
        <v>1.5999999999999999</v>
      </c>
      <c r="E77" s="241">
        <f t="shared" si="41"/>
        <v>22080</v>
      </c>
      <c r="F77" s="324">
        <v>1</v>
      </c>
      <c r="G77" s="244">
        <f>0.2*F77</f>
        <v>0.2</v>
      </c>
      <c r="H77" s="241">
        <f t="shared" si="33"/>
        <v>2760</v>
      </c>
      <c r="I77" s="324">
        <v>1</v>
      </c>
      <c r="J77" s="236">
        <f>0.2*I77</f>
        <v>0.2</v>
      </c>
      <c r="K77" s="241">
        <f t="shared" si="34"/>
        <v>2760</v>
      </c>
      <c r="L77" s="322">
        <v>1</v>
      </c>
      <c r="M77" s="236">
        <f>0.2*L77</f>
        <v>0.2</v>
      </c>
      <c r="N77" s="241">
        <f t="shared" si="35"/>
        <v>2760</v>
      </c>
      <c r="O77" s="322">
        <v>1</v>
      </c>
      <c r="P77" s="244">
        <f>0.2*O77</f>
        <v>0.2</v>
      </c>
      <c r="Q77" s="241">
        <f t="shared" si="36"/>
        <v>2760</v>
      </c>
      <c r="R77" s="322">
        <v>1</v>
      </c>
      <c r="S77" s="236">
        <f>0.2*R77</f>
        <v>0.2</v>
      </c>
      <c r="T77" s="241">
        <f t="shared" si="37"/>
        <v>2760</v>
      </c>
      <c r="U77" s="322">
        <v>1</v>
      </c>
      <c r="V77" s="236">
        <f>0.2*U77</f>
        <v>0.2</v>
      </c>
      <c r="W77" s="241">
        <f t="shared" si="38"/>
        <v>2760</v>
      </c>
      <c r="X77" s="322">
        <v>1</v>
      </c>
      <c r="Y77" s="253">
        <f>0.2*X77</f>
        <v>0.2</v>
      </c>
      <c r="Z77" s="241">
        <f t="shared" si="39"/>
        <v>2760</v>
      </c>
      <c r="AA77" s="322">
        <v>1</v>
      </c>
      <c r="AB77" s="236">
        <f>0.2*AA77</f>
        <v>0.2</v>
      </c>
      <c r="AC77" s="241">
        <f t="shared" si="40"/>
        <v>2760</v>
      </c>
      <c r="AD77" s="67"/>
      <c r="AE77" s="67"/>
      <c r="AF77" s="67"/>
      <c r="AG77" s="67"/>
      <c r="AH77" s="67"/>
      <c r="AI77" s="67"/>
      <c r="AJ77" s="67"/>
      <c r="AK77" s="67"/>
      <c r="AL77" s="70"/>
    </row>
    <row r="78" spans="1:38" s="71" customFormat="1" ht="22.5" customHeight="1">
      <c r="A78" s="234">
        <v>4</v>
      </c>
      <c r="B78" s="256" t="s">
        <v>262</v>
      </c>
      <c r="C78" s="322">
        <f t="shared" si="32"/>
        <v>3</v>
      </c>
      <c r="D78" s="236">
        <f t="shared" si="41"/>
        <v>0.6000000000000001</v>
      </c>
      <c r="E78" s="241">
        <f t="shared" si="41"/>
        <v>8280</v>
      </c>
      <c r="F78" s="324">
        <v>1</v>
      </c>
      <c r="G78" s="244">
        <v>0.2</v>
      </c>
      <c r="H78" s="241">
        <f t="shared" si="33"/>
        <v>2760</v>
      </c>
      <c r="I78" s="324"/>
      <c r="J78" s="236"/>
      <c r="K78" s="241">
        <f t="shared" si="34"/>
        <v>0</v>
      </c>
      <c r="L78" s="322"/>
      <c r="M78" s="236">
        <f>+L78*0.12</f>
        <v>0</v>
      </c>
      <c r="N78" s="241">
        <f t="shared" si="35"/>
        <v>0</v>
      </c>
      <c r="O78" s="322">
        <v>1</v>
      </c>
      <c r="P78" s="244">
        <f>+O78*0.2</f>
        <v>0.2</v>
      </c>
      <c r="Q78" s="241">
        <f t="shared" si="36"/>
        <v>2760</v>
      </c>
      <c r="R78" s="322"/>
      <c r="S78" s="236"/>
      <c r="T78" s="241">
        <f t="shared" si="37"/>
        <v>0</v>
      </c>
      <c r="U78" s="322"/>
      <c r="V78" s="236"/>
      <c r="W78" s="241">
        <f t="shared" si="38"/>
        <v>0</v>
      </c>
      <c r="X78" s="322"/>
      <c r="Y78" s="253"/>
      <c r="Z78" s="241">
        <f t="shared" si="39"/>
        <v>0</v>
      </c>
      <c r="AA78" s="322">
        <v>1</v>
      </c>
      <c r="AB78" s="236">
        <f>+AA78*0.2</f>
        <v>0.2</v>
      </c>
      <c r="AC78" s="241">
        <f t="shared" si="40"/>
        <v>2760</v>
      </c>
      <c r="AD78" s="67"/>
      <c r="AE78" s="67"/>
      <c r="AF78" s="67"/>
      <c r="AG78" s="67"/>
      <c r="AH78" s="67"/>
      <c r="AI78" s="67"/>
      <c r="AJ78" s="67"/>
      <c r="AK78" s="67"/>
      <c r="AL78" s="70"/>
    </row>
    <row r="79" spans="1:38" s="71" customFormat="1" ht="30.75" customHeight="1">
      <c r="A79" s="234">
        <v>5</v>
      </c>
      <c r="B79" s="256" t="s">
        <v>263</v>
      </c>
      <c r="C79" s="322">
        <f t="shared" si="32"/>
        <v>6</v>
      </c>
      <c r="D79" s="236">
        <f t="shared" si="41"/>
        <v>0.72</v>
      </c>
      <c r="E79" s="241">
        <f t="shared" si="41"/>
        <v>9936</v>
      </c>
      <c r="F79" s="324">
        <v>1</v>
      </c>
      <c r="G79" s="244">
        <f>+F79*0.12</f>
        <v>0.12</v>
      </c>
      <c r="H79" s="241">
        <f t="shared" si="33"/>
        <v>1656</v>
      </c>
      <c r="I79" s="324"/>
      <c r="J79" s="236"/>
      <c r="K79" s="241">
        <f t="shared" si="34"/>
        <v>0</v>
      </c>
      <c r="L79" s="322">
        <v>1</v>
      </c>
      <c r="M79" s="236">
        <f>+L79*0.12</f>
        <v>0.12</v>
      </c>
      <c r="N79" s="241">
        <f t="shared" si="35"/>
        <v>1656</v>
      </c>
      <c r="O79" s="322">
        <v>1</v>
      </c>
      <c r="P79" s="244">
        <f>+O79*0.12</f>
        <v>0.12</v>
      </c>
      <c r="Q79" s="241">
        <f t="shared" si="36"/>
        <v>1656</v>
      </c>
      <c r="R79" s="322"/>
      <c r="S79" s="236">
        <f>+R79*0.12</f>
        <v>0</v>
      </c>
      <c r="T79" s="241">
        <f t="shared" si="37"/>
        <v>0</v>
      </c>
      <c r="U79" s="322">
        <v>1</v>
      </c>
      <c r="V79" s="236">
        <f>+U79*0.12</f>
        <v>0.12</v>
      </c>
      <c r="W79" s="241">
        <f t="shared" si="38"/>
        <v>1656</v>
      </c>
      <c r="X79" s="322">
        <v>1</v>
      </c>
      <c r="Y79" s="253">
        <f>+X79*0.12</f>
        <v>0.12</v>
      </c>
      <c r="Z79" s="241">
        <f t="shared" si="39"/>
        <v>1656</v>
      </c>
      <c r="AA79" s="322">
        <v>1</v>
      </c>
      <c r="AB79" s="236">
        <f>+AA79*0.12</f>
        <v>0.12</v>
      </c>
      <c r="AC79" s="241">
        <f t="shared" si="40"/>
        <v>1656</v>
      </c>
      <c r="AD79" s="67"/>
      <c r="AE79" s="67"/>
      <c r="AF79" s="67"/>
      <c r="AG79" s="67"/>
      <c r="AH79" s="67"/>
      <c r="AI79" s="67"/>
      <c r="AJ79" s="67"/>
      <c r="AK79" s="67"/>
      <c r="AL79" s="70"/>
    </row>
    <row r="80" spans="1:38" s="71" customFormat="1" ht="25.5" customHeight="1">
      <c r="A80" s="234">
        <v>6</v>
      </c>
      <c r="B80" s="256" t="s">
        <v>264</v>
      </c>
      <c r="C80" s="322">
        <f t="shared" si="32"/>
        <v>30</v>
      </c>
      <c r="D80" s="236">
        <f t="shared" si="41"/>
        <v>3.000000000000001</v>
      </c>
      <c r="E80" s="241">
        <f t="shared" si="41"/>
        <v>41400.00000000001</v>
      </c>
      <c r="F80" s="324">
        <v>3</v>
      </c>
      <c r="G80" s="244">
        <f>+F80*0.1</f>
        <v>0.30000000000000004</v>
      </c>
      <c r="H80" s="241">
        <f t="shared" si="33"/>
        <v>4140.000000000001</v>
      </c>
      <c r="I80" s="324">
        <v>3</v>
      </c>
      <c r="J80" s="236">
        <f>+I80*0.1</f>
        <v>0.30000000000000004</v>
      </c>
      <c r="K80" s="241">
        <f t="shared" si="34"/>
        <v>4140.000000000001</v>
      </c>
      <c r="L80" s="322">
        <v>3</v>
      </c>
      <c r="M80" s="236">
        <f>+L80*0.1</f>
        <v>0.30000000000000004</v>
      </c>
      <c r="N80" s="241">
        <f t="shared" si="35"/>
        <v>4140.000000000001</v>
      </c>
      <c r="O80" s="322">
        <v>3</v>
      </c>
      <c r="P80" s="244">
        <f>+O80*0.1</f>
        <v>0.30000000000000004</v>
      </c>
      <c r="Q80" s="241">
        <f t="shared" si="36"/>
        <v>4140.000000000001</v>
      </c>
      <c r="R80" s="322">
        <v>3</v>
      </c>
      <c r="S80" s="236">
        <v>0.3</v>
      </c>
      <c r="T80" s="241">
        <f t="shared" si="37"/>
        <v>4140</v>
      </c>
      <c r="U80" s="322">
        <v>6</v>
      </c>
      <c r="V80" s="236">
        <f>+U80*0.1</f>
        <v>0.6000000000000001</v>
      </c>
      <c r="W80" s="241">
        <f t="shared" si="38"/>
        <v>8280.000000000002</v>
      </c>
      <c r="X80" s="322">
        <v>6</v>
      </c>
      <c r="Y80" s="253">
        <f>+X80*0.1</f>
        <v>0.6000000000000001</v>
      </c>
      <c r="Z80" s="241">
        <f t="shared" si="39"/>
        <v>8280.000000000002</v>
      </c>
      <c r="AA80" s="322">
        <v>3</v>
      </c>
      <c r="AB80" s="236">
        <f>+AA80*0.1</f>
        <v>0.30000000000000004</v>
      </c>
      <c r="AC80" s="241">
        <f t="shared" si="40"/>
        <v>4140.000000000001</v>
      </c>
      <c r="AD80" s="67"/>
      <c r="AE80" s="67"/>
      <c r="AF80" s="67"/>
      <c r="AG80" s="67"/>
      <c r="AH80" s="67"/>
      <c r="AI80" s="67"/>
      <c r="AJ80" s="67"/>
      <c r="AK80" s="67"/>
      <c r="AL80" s="70"/>
    </row>
    <row r="81" spans="1:38" s="71" customFormat="1" ht="22.5" customHeight="1">
      <c r="A81" s="234">
        <v>7</v>
      </c>
      <c r="B81" s="256" t="s">
        <v>265</v>
      </c>
      <c r="C81" s="322">
        <f t="shared" si="32"/>
        <v>9</v>
      </c>
      <c r="D81" s="236">
        <f t="shared" si="41"/>
        <v>0.9000000000000001</v>
      </c>
      <c r="E81" s="241">
        <f t="shared" si="41"/>
        <v>12420.000000000004</v>
      </c>
      <c r="F81" s="324">
        <v>3</v>
      </c>
      <c r="G81" s="244">
        <f>0.1*F81</f>
        <v>0.30000000000000004</v>
      </c>
      <c r="H81" s="241">
        <f t="shared" si="33"/>
        <v>4140.000000000001</v>
      </c>
      <c r="I81" s="323"/>
      <c r="J81" s="236">
        <f>0.1*I81</f>
        <v>0</v>
      </c>
      <c r="K81" s="241">
        <f t="shared" si="34"/>
        <v>0</v>
      </c>
      <c r="L81" s="322"/>
      <c r="M81" s="236">
        <f>0.1*L81</f>
        <v>0</v>
      </c>
      <c r="N81" s="241">
        <f t="shared" si="35"/>
        <v>0</v>
      </c>
      <c r="O81" s="322">
        <v>3</v>
      </c>
      <c r="P81" s="244">
        <f>0.1*O81</f>
        <v>0.30000000000000004</v>
      </c>
      <c r="Q81" s="241">
        <f t="shared" si="36"/>
        <v>4140.000000000001</v>
      </c>
      <c r="R81" s="322"/>
      <c r="S81" s="236">
        <f>0.1*R81</f>
        <v>0</v>
      </c>
      <c r="T81" s="241">
        <f t="shared" si="37"/>
        <v>0</v>
      </c>
      <c r="U81" s="322"/>
      <c r="V81" s="236">
        <f>0.1*U81</f>
        <v>0</v>
      </c>
      <c r="W81" s="241">
        <f t="shared" si="38"/>
        <v>0</v>
      </c>
      <c r="X81" s="322"/>
      <c r="Y81" s="253">
        <f>0.1*X81</f>
        <v>0</v>
      </c>
      <c r="Z81" s="241">
        <f t="shared" si="39"/>
        <v>0</v>
      </c>
      <c r="AA81" s="322">
        <v>3</v>
      </c>
      <c r="AB81" s="236">
        <f>0.1*AA81</f>
        <v>0.30000000000000004</v>
      </c>
      <c r="AC81" s="241">
        <f t="shared" si="40"/>
        <v>4140.000000000001</v>
      </c>
      <c r="AD81" s="67"/>
      <c r="AE81" s="67"/>
      <c r="AF81" s="67"/>
      <c r="AG81" s="67"/>
      <c r="AH81" s="67"/>
      <c r="AI81" s="67"/>
      <c r="AJ81" s="67"/>
      <c r="AK81" s="67"/>
      <c r="AL81" s="70"/>
    </row>
    <row r="82" spans="1:38" s="71" customFormat="1" ht="22.5" customHeight="1">
      <c r="A82" s="234">
        <v>8</v>
      </c>
      <c r="B82" s="256" t="s">
        <v>266</v>
      </c>
      <c r="C82" s="322">
        <f t="shared" si="32"/>
        <v>6</v>
      </c>
      <c r="D82" s="236">
        <f t="shared" si="41"/>
        <v>0.6000000000000001</v>
      </c>
      <c r="E82" s="241">
        <f t="shared" si="41"/>
        <v>8280</v>
      </c>
      <c r="F82" s="324">
        <v>2</v>
      </c>
      <c r="G82" s="244">
        <f>+F82*0.1</f>
        <v>0.2</v>
      </c>
      <c r="H82" s="241">
        <f t="shared" si="33"/>
        <v>2760</v>
      </c>
      <c r="I82" s="323"/>
      <c r="J82" s="236">
        <f>+I82*0.1</f>
        <v>0</v>
      </c>
      <c r="K82" s="241">
        <f t="shared" si="34"/>
        <v>0</v>
      </c>
      <c r="L82" s="322"/>
      <c r="M82" s="236">
        <f>+L82*0.1</f>
        <v>0</v>
      </c>
      <c r="N82" s="241">
        <f t="shared" si="35"/>
        <v>0</v>
      </c>
      <c r="O82" s="322">
        <v>2</v>
      </c>
      <c r="P82" s="244">
        <f>+O82*0.1</f>
        <v>0.2</v>
      </c>
      <c r="Q82" s="241">
        <f t="shared" si="36"/>
        <v>2760</v>
      </c>
      <c r="R82" s="322"/>
      <c r="S82" s="236">
        <f>+R82*0.1</f>
        <v>0</v>
      </c>
      <c r="T82" s="241">
        <f t="shared" si="37"/>
        <v>0</v>
      </c>
      <c r="U82" s="322"/>
      <c r="V82" s="236">
        <f>+U82*0.1</f>
        <v>0</v>
      </c>
      <c r="W82" s="241">
        <f t="shared" si="38"/>
        <v>0</v>
      </c>
      <c r="X82" s="322"/>
      <c r="Y82" s="253">
        <f>+X82*0.1</f>
        <v>0</v>
      </c>
      <c r="Z82" s="241">
        <f t="shared" si="39"/>
        <v>0</v>
      </c>
      <c r="AA82" s="322">
        <v>2</v>
      </c>
      <c r="AB82" s="236">
        <f>+AA82*0.1</f>
        <v>0.2</v>
      </c>
      <c r="AC82" s="241">
        <f t="shared" si="40"/>
        <v>2760</v>
      </c>
      <c r="AD82" s="67"/>
      <c r="AE82" s="67"/>
      <c r="AF82" s="67"/>
      <c r="AG82" s="67"/>
      <c r="AH82" s="67"/>
      <c r="AI82" s="67"/>
      <c r="AJ82" s="67"/>
      <c r="AK82" s="67"/>
      <c r="AL82" s="70"/>
    </row>
    <row r="83" spans="1:38" s="71" customFormat="1" ht="22.5" customHeight="1">
      <c r="A83" s="234">
        <v>9</v>
      </c>
      <c r="B83" s="256" t="s">
        <v>635</v>
      </c>
      <c r="C83" s="322">
        <f t="shared" si="32"/>
        <v>6</v>
      </c>
      <c r="D83" s="236">
        <f t="shared" si="41"/>
        <v>0.6</v>
      </c>
      <c r="E83" s="241">
        <f t="shared" si="41"/>
        <v>8280</v>
      </c>
      <c r="F83" s="324">
        <v>1</v>
      </c>
      <c r="G83" s="244">
        <f>+F83*0.1</f>
        <v>0.1</v>
      </c>
      <c r="H83" s="241">
        <f t="shared" si="33"/>
        <v>1380</v>
      </c>
      <c r="I83" s="324">
        <v>3</v>
      </c>
      <c r="J83" s="236">
        <v>0.3</v>
      </c>
      <c r="K83" s="241">
        <f t="shared" si="34"/>
        <v>4140</v>
      </c>
      <c r="L83" s="322"/>
      <c r="M83" s="236"/>
      <c r="N83" s="241">
        <f t="shared" si="35"/>
        <v>0</v>
      </c>
      <c r="O83" s="322">
        <v>1</v>
      </c>
      <c r="P83" s="244">
        <f>+O83*0.1</f>
        <v>0.1</v>
      </c>
      <c r="Q83" s="241">
        <f t="shared" si="36"/>
        <v>1380</v>
      </c>
      <c r="R83" s="322"/>
      <c r="S83" s="236"/>
      <c r="T83" s="241">
        <f t="shared" si="37"/>
        <v>0</v>
      </c>
      <c r="U83" s="322"/>
      <c r="V83" s="236"/>
      <c r="W83" s="241">
        <f t="shared" si="38"/>
        <v>0</v>
      </c>
      <c r="X83" s="322"/>
      <c r="Y83" s="253"/>
      <c r="Z83" s="241">
        <f t="shared" si="39"/>
        <v>0</v>
      </c>
      <c r="AA83" s="322">
        <v>1</v>
      </c>
      <c r="AB83" s="236">
        <f>+AA83*0.1</f>
        <v>0.1</v>
      </c>
      <c r="AC83" s="241">
        <f t="shared" si="40"/>
        <v>1380</v>
      </c>
      <c r="AD83" s="67"/>
      <c r="AE83" s="67"/>
      <c r="AF83" s="67"/>
      <c r="AG83" s="67"/>
      <c r="AH83" s="67"/>
      <c r="AI83" s="67"/>
      <c r="AJ83" s="67"/>
      <c r="AK83" s="67"/>
      <c r="AL83" s="70"/>
    </row>
    <row r="84" spans="1:37" s="65" customFormat="1" ht="21" customHeight="1">
      <c r="A84" s="12" t="s">
        <v>53</v>
      </c>
      <c r="B84" s="230" t="s">
        <v>636</v>
      </c>
      <c r="C84" s="257">
        <f>+F84+I84+L84+O84+R84+U84+X84+AA84</f>
        <v>109</v>
      </c>
      <c r="D84" s="231">
        <f>G84+J84+M84+P84+S84+V84+Y84+AB84</f>
        <v>32.699999999999996</v>
      </c>
      <c r="E84" s="232">
        <f>H84+K84+N84+Q84+T84+W84+Z84+AC84</f>
        <v>451260</v>
      </c>
      <c r="F84" s="228">
        <v>15</v>
      </c>
      <c r="G84" s="231">
        <v>4.5</v>
      </c>
      <c r="H84" s="232">
        <f>G84*1150*12</f>
        <v>62100</v>
      </c>
      <c r="I84" s="228">
        <v>14</v>
      </c>
      <c r="J84" s="231">
        <f>+I84*0.3</f>
        <v>4.2</v>
      </c>
      <c r="K84" s="232">
        <f>J84*1150*12</f>
        <v>57960</v>
      </c>
      <c r="L84" s="257">
        <v>13</v>
      </c>
      <c r="M84" s="231">
        <f>+L84*0.3</f>
        <v>3.9</v>
      </c>
      <c r="N84" s="232">
        <f>M84*12*1150</f>
        <v>53820</v>
      </c>
      <c r="O84" s="257">
        <v>13</v>
      </c>
      <c r="P84" s="231">
        <f>+O84*0.3</f>
        <v>3.9</v>
      </c>
      <c r="Q84" s="232">
        <f>P84*12*1150</f>
        <v>53820</v>
      </c>
      <c r="R84" s="257">
        <v>13</v>
      </c>
      <c r="S84" s="231">
        <f>+R84*0.3</f>
        <v>3.9</v>
      </c>
      <c r="T84" s="232">
        <f>S84*12*1150</f>
        <v>53820</v>
      </c>
      <c r="U84" s="257">
        <v>15</v>
      </c>
      <c r="V84" s="231">
        <f>+U84*0.3</f>
        <v>4.5</v>
      </c>
      <c r="W84" s="232">
        <f>V84*12*1150</f>
        <v>62100</v>
      </c>
      <c r="X84" s="228">
        <v>13</v>
      </c>
      <c r="Y84" s="231">
        <f>+X84*0.3</f>
        <v>3.9</v>
      </c>
      <c r="Z84" s="232">
        <f>Y84*12*1150</f>
        <v>53820</v>
      </c>
      <c r="AA84" s="257">
        <v>13</v>
      </c>
      <c r="AB84" s="233">
        <v>3.9</v>
      </c>
      <c r="AC84" s="232">
        <f>AB84*12*1150</f>
        <v>53820</v>
      </c>
      <c r="AD84" s="66"/>
      <c r="AE84" s="66"/>
      <c r="AF84" s="66"/>
      <c r="AG84" s="66"/>
      <c r="AH84" s="66"/>
      <c r="AI84" s="66"/>
      <c r="AJ84" s="66"/>
      <c r="AK84" s="66"/>
    </row>
    <row r="85" spans="1:37" s="65" customFormat="1" ht="21.75" customHeight="1">
      <c r="A85" s="12" t="s">
        <v>55</v>
      </c>
      <c r="B85" s="230" t="s">
        <v>267</v>
      </c>
      <c r="C85" s="257">
        <f>SUM(C86:C87)</f>
        <v>182</v>
      </c>
      <c r="D85" s="227">
        <f aca="true" t="shared" si="42" ref="D85:AC85">SUM(D86:D87)</f>
        <v>44.3</v>
      </c>
      <c r="E85" s="257">
        <f t="shared" si="42"/>
        <v>611340</v>
      </c>
      <c r="F85" s="257">
        <f t="shared" si="42"/>
        <v>16</v>
      </c>
      <c r="G85" s="227">
        <f t="shared" si="42"/>
        <v>3.5999999999999996</v>
      </c>
      <c r="H85" s="257">
        <f t="shared" si="42"/>
        <v>49680</v>
      </c>
      <c r="I85" s="257">
        <f t="shared" si="42"/>
        <v>0</v>
      </c>
      <c r="J85" s="227">
        <f>SUM(J86:J87)</f>
        <v>0</v>
      </c>
      <c r="K85" s="257">
        <f>SUM(K86:K87)</f>
        <v>0</v>
      </c>
      <c r="L85" s="257">
        <f t="shared" si="42"/>
        <v>13</v>
      </c>
      <c r="M85" s="227">
        <f t="shared" si="42"/>
        <v>3.4</v>
      </c>
      <c r="N85" s="257">
        <f t="shared" si="42"/>
        <v>46920</v>
      </c>
      <c r="O85" s="257">
        <f t="shared" si="42"/>
        <v>29</v>
      </c>
      <c r="P85" s="227">
        <f t="shared" si="42"/>
        <v>7</v>
      </c>
      <c r="Q85" s="257">
        <f t="shared" si="42"/>
        <v>96600</v>
      </c>
      <c r="R85" s="257">
        <f t="shared" si="42"/>
        <v>22</v>
      </c>
      <c r="S85" s="227">
        <f t="shared" si="42"/>
        <v>5.4</v>
      </c>
      <c r="T85" s="257">
        <f t="shared" si="42"/>
        <v>74520</v>
      </c>
      <c r="U85" s="257">
        <f t="shared" si="42"/>
        <v>41</v>
      </c>
      <c r="V85" s="227">
        <f t="shared" si="42"/>
        <v>9.600000000000001</v>
      </c>
      <c r="W85" s="257">
        <f t="shared" si="42"/>
        <v>132480</v>
      </c>
      <c r="X85" s="228">
        <f t="shared" si="42"/>
        <v>33</v>
      </c>
      <c r="Y85" s="227">
        <f t="shared" si="42"/>
        <v>8.3</v>
      </c>
      <c r="Z85" s="257">
        <f t="shared" si="42"/>
        <v>114540</v>
      </c>
      <c r="AA85" s="257">
        <f t="shared" si="42"/>
        <v>28</v>
      </c>
      <c r="AB85" s="229">
        <f>SUM(AB86:AB87)</f>
        <v>7</v>
      </c>
      <c r="AC85" s="257">
        <f t="shared" si="42"/>
        <v>96600</v>
      </c>
      <c r="AD85" s="66"/>
      <c r="AE85" s="66"/>
      <c r="AF85" s="66"/>
      <c r="AG85" s="66"/>
      <c r="AH85" s="66"/>
      <c r="AI85" s="66"/>
      <c r="AJ85" s="66"/>
      <c r="AK85" s="66"/>
    </row>
    <row r="86" spans="1:37" s="63" customFormat="1" ht="17.25" customHeight="1">
      <c r="A86" s="234">
        <v>1</v>
      </c>
      <c r="B86" s="258" t="s">
        <v>637</v>
      </c>
      <c r="C86" s="322">
        <f aca="true" t="shared" si="43" ref="C86:C92">+F86+I86+L86+O86+R86+U86+X86+AA86</f>
        <v>79</v>
      </c>
      <c r="D86" s="236">
        <f aca="true" t="shared" si="44" ref="D86:E88">G86+J86+M86+P86+S86+V86+Y86+AB86</f>
        <v>23.7</v>
      </c>
      <c r="E86" s="241">
        <f t="shared" si="44"/>
        <v>327060</v>
      </c>
      <c r="F86" s="324">
        <v>4</v>
      </c>
      <c r="G86" s="244">
        <v>1.2</v>
      </c>
      <c r="H86" s="241">
        <f>G86*1150*12</f>
        <v>16560</v>
      </c>
      <c r="I86" s="324"/>
      <c r="J86" s="236">
        <f>+I86*0.3</f>
        <v>0</v>
      </c>
      <c r="K86" s="241">
        <f>J86*1150*12</f>
        <v>0</v>
      </c>
      <c r="L86" s="322">
        <v>8</v>
      </c>
      <c r="M86" s="236">
        <f>+L86*0.3</f>
        <v>2.4</v>
      </c>
      <c r="N86" s="241">
        <f>M86*1150*12</f>
        <v>33120</v>
      </c>
      <c r="O86" s="322">
        <v>12</v>
      </c>
      <c r="P86" s="244">
        <f>+O86*0.3</f>
        <v>3.5999999999999996</v>
      </c>
      <c r="Q86" s="241">
        <f>P86*1150*12</f>
        <v>49680</v>
      </c>
      <c r="R86" s="322">
        <v>10</v>
      </c>
      <c r="S86" s="236">
        <f>+R86*0.3</f>
        <v>3</v>
      </c>
      <c r="T86" s="241">
        <f>S86*1150*12</f>
        <v>41400</v>
      </c>
      <c r="U86" s="322">
        <v>14</v>
      </c>
      <c r="V86" s="236">
        <f>+U86*0.3</f>
        <v>4.2</v>
      </c>
      <c r="W86" s="241">
        <f>V86*1150*12</f>
        <v>57960</v>
      </c>
      <c r="X86" s="322">
        <v>17</v>
      </c>
      <c r="Y86" s="253">
        <f>+X86*0.3</f>
        <v>5.1</v>
      </c>
      <c r="Z86" s="241">
        <f>Y86*1150*12</f>
        <v>70380</v>
      </c>
      <c r="AA86" s="322">
        <v>14</v>
      </c>
      <c r="AB86" s="236">
        <f>+AA86*0.3</f>
        <v>4.2</v>
      </c>
      <c r="AC86" s="241">
        <f>AB86*1150*12</f>
        <v>57960</v>
      </c>
      <c r="AD86" s="67"/>
      <c r="AE86" s="67"/>
      <c r="AF86" s="67"/>
      <c r="AG86" s="67"/>
      <c r="AH86" s="67"/>
      <c r="AI86" s="67"/>
      <c r="AJ86" s="67"/>
      <c r="AK86" s="67"/>
    </row>
    <row r="87" spans="1:37" s="63" customFormat="1" ht="17.25" customHeight="1">
      <c r="A87" s="234">
        <v>2</v>
      </c>
      <c r="B87" s="258" t="s">
        <v>268</v>
      </c>
      <c r="C87" s="322">
        <f t="shared" si="43"/>
        <v>103</v>
      </c>
      <c r="D87" s="236">
        <f t="shared" si="44"/>
        <v>20.6</v>
      </c>
      <c r="E87" s="241">
        <f t="shared" si="44"/>
        <v>284280</v>
      </c>
      <c r="F87" s="324">
        <v>12</v>
      </c>
      <c r="G87" s="244">
        <v>2.4</v>
      </c>
      <c r="H87" s="241">
        <f>G87*1150*12</f>
        <v>33120</v>
      </c>
      <c r="I87" s="324"/>
      <c r="J87" s="236">
        <f>+I87*0.2</f>
        <v>0</v>
      </c>
      <c r="K87" s="241">
        <f>J87*1150*12</f>
        <v>0</v>
      </c>
      <c r="L87" s="322">
        <v>5</v>
      </c>
      <c r="M87" s="236">
        <f>+L87*0.2</f>
        <v>1</v>
      </c>
      <c r="N87" s="241">
        <f>M87*1150*12</f>
        <v>13800</v>
      </c>
      <c r="O87" s="322">
        <v>17</v>
      </c>
      <c r="P87" s="244">
        <f>+O87*0.2</f>
        <v>3.4000000000000004</v>
      </c>
      <c r="Q87" s="241">
        <f>P87*1150*12</f>
        <v>46920.00000000001</v>
      </c>
      <c r="R87" s="322">
        <v>12</v>
      </c>
      <c r="S87" s="236">
        <f>+R87*0.2</f>
        <v>2.4000000000000004</v>
      </c>
      <c r="T87" s="241">
        <f>S87*1150*12</f>
        <v>33120.00000000001</v>
      </c>
      <c r="U87" s="322">
        <v>27</v>
      </c>
      <c r="V87" s="236">
        <f>+U87*0.2</f>
        <v>5.4</v>
      </c>
      <c r="W87" s="241">
        <f>V87*1150*12</f>
        <v>74520</v>
      </c>
      <c r="X87" s="322">
        <v>16</v>
      </c>
      <c r="Y87" s="253">
        <f>+X87*0.2</f>
        <v>3.2</v>
      </c>
      <c r="Z87" s="241">
        <f>Y87*1150*12</f>
        <v>44160</v>
      </c>
      <c r="AA87" s="322">
        <v>14</v>
      </c>
      <c r="AB87" s="236">
        <f>+AA87*0.2</f>
        <v>2.8000000000000003</v>
      </c>
      <c r="AC87" s="241">
        <f>AB87*1150*12</f>
        <v>38640.00000000001</v>
      </c>
      <c r="AD87" s="67"/>
      <c r="AE87" s="67"/>
      <c r="AF87" s="67"/>
      <c r="AG87" s="67"/>
      <c r="AH87" s="67"/>
      <c r="AI87" s="67"/>
      <c r="AJ87" s="67"/>
      <c r="AK87" s="67"/>
    </row>
    <row r="88" spans="1:37" s="65" customFormat="1" ht="17.25" customHeight="1">
      <c r="A88" s="12" t="s">
        <v>63</v>
      </c>
      <c r="B88" s="230" t="s">
        <v>638</v>
      </c>
      <c r="C88" s="257">
        <f>+F88+I88+L88+O88+R88+U88+X88+AA88</f>
        <v>201</v>
      </c>
      <c r="D88" s="231">
        <f t="shared" si="44"/>
        <v>70.44500000000001</v>
      </c>
      <c r="E88" s="232">
        <f t="shared" si="44"/>
        <v>972141</v>
      </c>
      <c r="F88" s="228">
        <v>26</v>
      </c>
      <c r="G88" s="231">
        <v>9.38</v>
      </c>
      <c r="H88" s="232">
        <f>G88*1150*12</f>
        <v>129444</v>
      </c>
      <c r="I88" s="228">
        <v>22</v>
      </c>
      <c r="J88" s="231">
        <v>7.63</v>
      </c>
      <c r="K88" s="232">
        <f>J88*1150*12</f>
        <v>105294</v>
      </c>
      <c r="L88" s="257">
        <v>25</v>
      </c>
      <c r="M88" s="231">
        <v>8.635</v>
      </c>
      <c r="N88" s="232">
        <f>M88*12*1150</f>
        <v>119163</v>
      </c>
      <c r="O88" s="257">
        <v>25</v>
      </c>
      <c r="P88" s="231">
        <v>8.9</v>
      </c>
      <c r="Q88" s="232">
        <f>P88*12*1150</f>
        <v>122820.00000000001</v>
      </c>
      <c r="R88" s="257">
        <v>25</v>
      </c>
      <c r="S88" s="231">
        <v>8.59</v>
      </c>
      <c r="T88" s="232">
        <f>S88*12*1150</f>
        <v>118542</v>
      </c>
      <c r="U88" s="257">
        <v>28</v>
      </c>
      <c r="V88" s="231">
        <v>9.88</v>
      </c>
      <c r="W88" s="232">
        <f>V88*12*1150</f>
        <v>136344</v>
      </c>
      <c r="X88" s="228">
        <v>27</v>
      </c>
      <c r="Y88" s="231">
        <v>9.35</v>
      </c>
      <c r="Z88" s="232">
        <f>Y88*12*1150</f>
        <v>129029.99999999999</v>
      </c>
      <c r="AA88" s="257">
        <v>23</v>
      </c>
      <c r="AB88" s="233">
        <v>8.08</v>
      </c>
      <c r="AC88" s="232">
        <f>AB88*12*1150</f>
        <v>111504.00000000001</v>
      </c>
      <c r="AD88" s="66"/>
      <c r="AE88" s="66"/>
      <c r="AF88" s="66"/>
      <c r="AG88" s="66"/>
      <c r="AH88" s="66"/>
      <c r="AI88" s="66"/>
      <c r="AJ88" s="66"/>
      <c r="AK88" s="66"/>
    </row>
    <row r="89" spans="1:37" s="65" customFormat="1" ht="17.25" customHeight="1">
      <c r="A89" s="12" t="s">
        <v>107</v>
      </c>
      <c r="B89" s="230" t="s">
        <v>269</v>
      </c>
      <c r="C89" s="257">
        <f t="shared" si="43"/>
        <v>102</v>
      </c>
      <c r="D89" s="231">
        <f aca="true" t="shared" si="45" ref="D89:AC89">SUM(D90:D92)</f>
        <v>0</v>
      </c>
      <c r="E89" s="232">
        <f>SUM(E90:E92)</f>
        <v>1813470</v>
      </c>
      <c r="F89" s="228">
        <f t="shared" si="45"/>
        <v>22</v>
      </c>
      <c r="G89" s="231">
        <f t="shared" si="45"/>
        <v>0</v>
      </c>
      <c r="H89" s="232">
        <f t="shared" si="45"/>
        <v>388206</v>
      </c>
      <c r="I89" s="228">
        <f t="shared" si="45"/>
        <v>8</v>
      </c>
      <c r="J89" s="231">
        <f t="shared" si="45"/>
        <v>0</v>
      </c>
      <c r="K89" s="232">
        <f t="shared" si="45"/>
        <v>139704</v>
      </c>
      <c r="L89" s="257"/>
      <c r="M89" s="231">
        <f t="shared" si="45"/>
        <v>0</v>
      </c>
      <c r="N89" s="232">
        <f t="shared" si="45"/>
        <v>0</v>
      </c>
      <c r="O89" s="257">
        <f>SUM(O90:O92)</f>
        <v>13</v>
      </c>
      <c r="P89" s="231">
        <f t="shared" si="45"/>
        <v>0</v>
      </c>
      <c r="Q89" s="232">
        <f>SUM(Q90:Q92)</f>
        <v>229065</v>
      </c>
      <c r="R89" s="257">
        <f>SUM(R90:R92)</f>
        <v>12</v>
      </c>
      <c r="S89" s="231">
        <f t="shared" si="45"/>
        <v>0</v>
      </c>
      <c r="T89" s="232">
        <f t="shared" si="45"/>
        <v>217452</v>
      </c>
      <c r="U89" s="257">
        <f>SUM(U90:U92)</f>
        <v>18</v>
      </c>
      <c r="V89" s="231">
        <f t="shared" si="45"/>
        <v>0</v>
      </c>
      <c r="W89" s="232">
        <f t="shared" si="45"/>
        <v>324090</v>
      </c>
      <c r="X89" s="228">
        <f t="shared" si="45"/>
        <v>12</v>
      </c>
      <c r="Y89" s="231">
        <f t="shared" si="45"/>
        <v>0</v>
      </c>
      <c r="Z89" s="232">
        <f t="shared" si="45"/>
        <v>210972</v>
      </c>
      <c r="AA89" s="257">
        <f>SUM(AA90:AA92)</f>
        <v>17</v>
      </c>
      <c r="AB89" s="233">
        <f t="shared" si="45"/>
        <v>0</v>
      </c>
      <c r="AC89" s="232">
        <f t="shared" si="45"/>
        <v>303981</v>
      </c>
      <c r="AD89" s="66"/>
      <c r="AE89" s="66"/>
      <c r="AF89" s="66"/>
      <c r="AG89" s="66"/>
      <c r="AH89" s="66"/>
      <c r="AI89" s="66"/>
      <c r="AJ89" s="66"/>
      <c r="AK89" s="66"/>
    </row>
    <row r="90" spans="1:38" s="69" customFormat="1" ht="22.5" customHeight="1">
      <c r="A90" s="234">
        <v>1</v>
      </c>
      <c r="B90" s="258" t="s">
        <v>639</v>
      </c>
      <c r="C90" s="322">
        <f t="shared" si="43"/>
        <v>12</v>
      </c>
      <c r="D90" s="236"/>
      <c r="E90" s="241">
        <f>H90+K90+N90+Q90+T90+W90+Z90+AC90</f>
        <v>233244</v>
      </c>
      <c r="F90" s="324">
        <v>1</v>
      </c>
      <c r="G90" s="244"/>
      <c r="H90" s="241">
        <v>19437</v>
      </c>
      <c r="I90" s="324"/>
      <c r="J90" s="236"/>
      <c r="K90" s="241">
        <f>(1494.896*I90*12)</f>
        <v>0</v>
      </c>
      <c r="L90" s="322"/>
      <c r="M90" s="236"/>
      <c r="N90" s="241">
        <f>(1443.4*L90*12)</f>
        <v>0</v>
      </c>
      <c r="O90" s="322"/>
      <c r="P90" s="244"/>
      <c r="Q90" s="241">
        <f>(1443.15*O90*12)</f>
        <v>0</v>
      </c>
      <c r="R90" s="322">
        <v>4</v>
      </c>
      <c r="S90" s="236"/>
      <c r="T90" s="241">
        <v>77748</v>
      </c>
      <c r="U90" s="322">
        <v>4</v>
      </c>
      <c r="V90" s="236"/>
      <c r="W90" s="241">
        <v>77748</v>
      </c>
      <c r="X90" s="322">
        <v>1</v>
      </c>
      <c r="Y90" s="253"/>
      <c r="Z90" s="241">
        <v>19437</v>
      </c>
      <c r="AA90" s="322">
        <v>2</v>
      </c>
      <c r="AB90" s="236"/>
      <c r="AC90" s="241">
        <v>38874</v>
      </c>
      <c r="AD90" s="67"/>
      <c r="AE90" s="67"/>
      <c r="AF90" s="67"/>
      <c r="AG90" s="67"/>
      <c r="AH90" s="67"/>
      <c r="AI90" s="67"/>
      <c r="AJ90" s="67"/>
      <c r="AK90" s="67"/>
      <c r="AL90" s="68"/>
    </row>
    <row r="91" spans="1:38" s="71" customFormat="1" ht="30.75" customHeight="1">
      <c r="A91" s="234">
        <v>2</v>
      </c>
      <c r="B91" s="258" t="s">
        <v>270</v>
      </c>
      <c r="C91" s="322">
        <f t="shared" si="43"/>
        <v>17</v>
      </c>
      <c r="D91" s="236"/>
      <c r="E91" s="241">
        <f>H91+K91+N91+Q91+T91+W91+Z91+AC91</f>
        <v>319005</v>
      </c>
      <c r="F91" s="324">
        <v>4</v>
      </c>
      <c r="G91" s="244"/>
      <c r="H91" s="241">
        <v>75060</v>
      </c>
      <c r="I91" s="324">
        <v>1</v>
      </c>
      <c r="J91" s="236"/>
      <c r="K91" s="241">
        <v>18765</v>
      </c>
      <c r="L91" s="322"/>
      <c r="M91" s="236"/>
      <c r="N91" s="241">
        <f>(1389.2*L91*12)</f>
        <v>0</v>
      </c>
      <c r="O91" s="322">
        <v>3</v>
      </c>
      <c r="P91" s="244"/>
      <c r="Q91" s="241">
        <v>56295</v>
      </c>
      <c r="R91" s="322">
        <v>1</v>
      </c>
      <c r="S91" s="236"/>
      <c r="T91" s="241">
        <v>18765</v>
      </c>
      <c r="U91" s="322">
        <v>3</v>
      </c>
      <c r="V91" s="236"/>
      <c r="W91" s="241">
        <v>56295</v>
      </c>
      <c r="X91" s="322">
        <v>1</v>
      </c>
      <c r="Y91" s="253"/>
      <c r="Z91" s="241">
        <v>18765</v>
      </c>
      <c r="AA91" s="322">
        <v>4</v>
      </c>
      <c r="AB91" s="236"/>
      <c r="AC91" s="241">
        <v>75060</v>
      </c>
      <c r="AD91" s="67"/>
      <c r="AE91" s="67"/>
      <c r="AF91" s="67"/>
      <c r="AG91" s="67"/>
      <c r="AH91" s="67"/>
      <c r="AI91" s="67"/>
      <c r="AJ91" s="67"/>
      <c r="AK91" s="67"/>
      <c r="AL91" s="70"/>
    </row>
    <row r="92" spans="1:38" s="73" customFormat="1" ht="18.75" customHeight="1">
      <c r="A92" s="234">
        <v>3</v>
      </c>
      <c r="B92" s="258" t="s">
        <v>271</v>
      </c>
      <c r="C92" s="322">
        <f t="shared" si="43"/>
        <v>73</v>
      </c>
      <c r="D92" s="236"/>
      <c r="E92" s="241">
        <f>H92+K92+N92+Q92+T92+W92+Z92+AC92</f>
        <v>1261221</v>
      </c>
      <c r="F92" s="324">
        <v>17</v>
      </c>
      <c r="G92" s="244"/>
      <c r="H92" s="241">
        <v>293709</v>
      </c>
      <c r="I92" s="324">
        <v>7</v>
      </c>
      <c r="J92" s="236"/>
      <c r="K92" s="241">
        <v>120939</v>
      </c>
      <c r="L92" s="322"/>
      <c r="M92" s="236"/>
      <c r="N92" s="241">
        <f>(1285.2*L92*12)</f>
        <v>0</v>
      </c>
      <c r="O92" s="322">
        <v>10</v>
      </c>
      <c r="P92" s="244"/>
      <c r="Q92" s="241">
        <v>172770</v>
      </c>
      <c r="R92" s="322">
        <v>7</v>
      </c>
      <c r="S92" s="236"/>
      <c r="T92" s="241">
        <v>120939</v>
      </c>
      <c r="U92" s="322">
        <v>11</v>
      </c>
      <c r="V92" s="236"/>
      <c r="W92" s="241">
        <v>190047</v>
      </c>
      <c r="X92" s="322">
        <v>10</v>
      </c>
      <c r="Y92" s="253"/>
      <c r="Z92" s="241">
        <v>172770</v>
      </c>
      <c r="AA92" s="322">
        <v>11</v>
      </c>
      <c r="AB92" s="236"/>
      <c r="AC92" s="241">
        <v>190047</v>
      </c>
      <c r="AD92" s="67"/>
      <c r="AE92" s="67"/>
      <c r="AF92" s="67"/>
      <c r="AG92" s="67"/>
      <c r="AH92" s="67"/>
      <c r="AI92" s="67"/>
      <c r="AJ92" s="67"/>
      <c r="AK92" s="67"/>
      <c r="AL92" s="72"/>
    </row>
    <row r="93" spans="30:37" ht="10.5">
      <c r="AD93" s="82"/>
      <c r="AE93" s="82"/>
      <c r="AF93" s="82"/>
      <c r="AG93" s="82"/>
      <c r="AH93" s="82"/>
      <c r="AI93" s="82"/>
      <c r="AJ93" s="82"/>
      <c r="AK93" s="82"/>
    </row>
    <row r="94" spans="30:37" ht="10.5">
      <c r="AD94" s="82"/>
      <c r="AE94" s="82"/>
      <c r="AF94" s="82"/>
      <c r="AG94" s="82"/>
      <c r="AH94" s="82"/>
      <c r="AI94" s="82"/>
      <c r="AJ94" s="82"/>
      <c r="AK94" s="82"/>
    </row>
    <row r="95" ht="10.5"/>
    <row r="96" ht="10.5"/>
    <row r="97" ht="10.5"/>
    <row r="98" ht="10.5"/>
  </sheetData>
  <sheetProtection/>
  <mergeCells count="20">
    <mergeCell ref="AA7:AC7"/>
    <mergeCell ref="L7:N7"/>
    <mergeCell ref="O7:Q7"/>
    <mergeCell ref="R7:T7"/>
    <mergeCell ref="U7:W7"/>
    <mergeCell ref="E7:E8"/>
    <mergeCell ref="F7:H7"/>
    <mergeCell ref="I7:K7"/>
    <mergeCell ref="X7:Z7"/>
    <mergeCell ref="A7:A8"/>
    <mergeCell ref="B7:B8"/>
    <mergeCell ref="C7:C8"/>
    <mergeCell ref="D7:D8"/>
    <mergeCell ref="AA6:AC6"/>
    <mergeCell ref="A1:AC1"/>
    <mergeCell ref="A2:AC2"/>
    <mergeCell ref="A3:AC3"/>
    <mergeCell ref="A4:AC4"/>
    <mergeCell ref="A5:AC5"/>
    <mergeCell ref="C6:D6"/>
  </mergeCells>
  <printOptions/>
  <pageMargins left="0.54" right="0.17" top="0.2" bottom="0.26" header="0.2" footer="0.17"/>
  <pageSetup horizontalDpi="600" verticalDpi="600" orientation="landscape" paperSize="9" scale="70" r:id="rId3"/>
  <headerFooter alignWithMargins="0">
    <oddFooter>&amp;CPage &amp;P</oddFooter>
  </headerFooter>
  <legacyDrawing r:id="rId2"/>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Cong ty Co phan May tinh 68</cp:lastModifiedBy>
  <cp:lastPrinted>2015-12-22T01:42:51Z</cp:lastPrinted>
  <dcterms:created xsi:type="dcterms:W3CDTF">2014-10-21T01:13:29Z</dcterms:created>
  <dcterms:modified xsi:type="dcterms:W3CDTF">2016-01-16T02:07:19Z</dcterms:modified>
  <cp:category/>
  <cp:version/>
  <cp:contentType/>
  <cp:contentStatus/>
</cp:coreProperties>
</file>